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d.docs.live.net/963dc3d6a48bbbe9/_bkpC/MEUSDOC/Jobs/Ecori/Treinamentos/Webnario Abertura empresa FV/"/>
    </mc:Choice>
  </mc:AlternateContent>
  <xr:revisionPtr revIDLastSave="1122" documentId="11_AB8AD87A1075CBCA39B69204E86E0C6A9AB4947C" xr6:coauthVersionLast="45" xr6:coauthVersionMax="45" xr10:uidLastSave="{5FFF1B9F-93EA-4C96-A675-1B15AC0091ED}"/>
  <bookViews>
    <workbookView xWindow="-108" yWindow="-108" windowWidth="23256" windowHeight="12576" tabRatio="648" activeTab="8" xr2:uid="{00000000-000D-0000-FFFF-FFFF00000000}"/>
  </bookViews>
  <sheets>
    <sheet name="Bem vindo!" sheetId="18" r:id="rId1"/>
    <sheet name="Produtos" sheetId="1" r:id="rId2"/>
    <sheet name="Vendas (q)" sheetId="5" r:id="rId3"/>
    <sheet name="Vendas (R$)" sheetId="16" r:id="rId4"/>
    <sheet name="Custo de Venda" sheetId="17" r:id="rId5"/>
    <sheet name="Investimentos" sheetId="10" r:id="rId6"/>
    <sheet name="FOPAG" sheetId="4" r:id="rId7"/>
    <sheet name="Despesas" sheetId="11" r:id="rId8"/>
    <sheet name="Análise" sheetId="12" r:id="rId9"/>
    <sheet name="Sheet2" sheetId="15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4" l="1"/>
  <c r="D11" i="4"/>
  <c r="C13" i="12" l="1"/>
  <c r="F11" i="4"/>
  <c r="F6" i="1"/>
  <c r="H25" i="1" l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10" i="4" l="1"/>
  <c r="F9" i="4"/>
  <c r="E10" i="4"/>
  <c r="E9" i="4"/>
  <c r="C26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7" i="4" l="1"/>
  <c r="E9" i="17"/>
  <c r="C9" i="17"/>
  <c r="C6" i="5" l="1"/>
  <c r="F7" i="4"/>
  <c r="E8" i="4"/>
  <c r="F8" i="4" s="1"/>
  <c r="F58" i="17" l="1"/>
  <c r="E58" i="17"/>
  <c r="D58" i="17"/>
  <c r="C58" i="17"/>
  <c r="F57" i="17"/>
  <c r="E57" i="17"/>
  <c r="D57" i="17"/>
  <c r="C57" i="17"/>
  <c r="F56" i="17"/>
  <c r="E56" i="17"/>
  <c r="D56" i="17"/>
  <c r="C56" i="17"/>
  <c r="F55" i="17"/>
  <c r="E55" i="17"/>
  <c r="D55" i="17"/>
  <c r="C55" i="17"/>
  <c r="F54" i="17"/>
  <c r="E54" i="17"/>
  <c r="D54" i="17"/>
  <c r="C54" i="17"/>
  <c r="F53" i="17"/>
  <c r="E53" i="17"/>
  <c r="D53" i="17"/>
  <c r="C53" i="17"/>
  <c r="F52" i="17"/>
  <c r="E52" i="17"/>
  <c r="D52" i="17"/>
  <c r="C52" i="17"/>
  <c r="F51" i="17"/>
  <c r="E51" i="17"/>
  <c r="D51" i="17"/>
  <c r="C51" i="17"/>
  <c r="F50" i="17"/>
  <c r="E50" i="17"/>
  <c r="D50" i="17"/>
  <c r="C50" i="17"/>
  <c r="F49" i="17"/>
  <c r="E49" i="17"/>
  <c r="D49" i="17"/>
  <c r="C49" i="17"/>
  <c r="F48" i="17"/>
  <c r="E48" i="17"/>
  <c r="D48" i="17"/>
  <c r="C48" i="17"/>
  <c r="F47" i="17"/>
  <c r="E47" i="17"/>
  <c r="D47" i="17"/>
  <c r="C47" i="17"/>
  <c r="F46" i="17"/>
  <c r="E46" i="17"/>
  <c r="D46" i="17"/>
  <c r="C46" i="17"/>
  <c r="F45" i="17"/>
  <c r="E45" i="17"/>
  <c r="D45" i="17"/>
  <c r="C45" i="17"/>
  <c r="F44" i="17"/>
  <c r="E44" i="17"/>
  <c r="D44" i="17"/>
  <c r="C44" i="17"/>
  <c r="F43" i="17"/>
  <c r="E43" i="17"/>
  <c r="D43" i="17"/>
  <c r="C43" i="17"/>
  <c r="F42" i="17"/>
  <c r="E42" i="17"/>
  <c r="D42" i="17"/>
  <c r="C42" i="17"/>
  <c r="F41" i="17"/>
  <c r="E41" i="17"/>
  <c r="D41" i="17"/>
  <c r="C41" i="17"/>
  <c r="F40" i="17"/>
  <c r="E40" i="17"/>
  <c r="D40" i="17"/>
  <c r="C40" i="17"/>
  <c r="F39" i="17"/>
  <c r="E39" i="17"/>
  <c r="D39" i="17"/>
  <c r="C39" i="17"/>
  <c r="F38" i="17"/>
  <c r="E38" i="17"/>
  <c r="D38" i="17"/>
  <c r="C38" i="17"/>
  <c r="F37" i="17"/>
  <c r="E37" i="17"/>
  <c r="D37" i="17"/>
  <c r="C37" i="17"/>
  <c r="F36" i="17"/>
  <c r="E36" i="17"/>
  <c r="D36" i="17"/>
  <c r="C36" i="17"/>
  <c r="F35" i="17"/>
  <c r="E35" i="17"/>
  <c r="D35" i="17"/>
  <c r="C35" i="17"/>
  <c r="F34" i="17"/>
  <c r="E34" i="17"/>
  <c r="D34" i="17"/>
  <c r="C34" i="17"/>
  <c r="F33" i="17"/>
  <c r="E33" i="17"/>
  <c r="D33" i="17"/>
  <c r="C33" i="17"/>
  <c r="F32" i="17"/>
  <c r="E32" i="17"/>
  <c r="D32" i="17"/>
  <c r="C32" i="17"/>
  <c r="F31" i="17"/>
  <c r="E31" i="17"/>
  <c r="D31" i="17"/>
  <c r="C31" i="17"/>
  <c r="F30" i="17"/>
  <c r="E30" i="17"/>
  <c r="D30" i="17"/>
  <c r="C30" i="17"/>
  <c r="F29" i="17"/>
  <c r="E29" i="17"/>
  <c r="D29" i="17"/>
  <c r="C29" i="17"/>
  <c r="F28" i="17"/>
  <c r="E28" i="17"/>
  <c r="D28" i="17"/>
  <c r="C28" i="17"/>
  <c r="F27" i="17"/>
  <c r="E27" i="17"/>
  <c r="D27" i="17"/>
  <c r="C27" i="17"/>
  <c r="F26" i="17"/>
  <c r="E26" i="17"/>
  <c r="D26" i="17"/>
  <c r="C26" i="17"/>
  <c r="F25" i="17"/>
  <c r="E25" i="17"/>
  <c r="D25" i="17"/>
  <c r="C25" i="17"/>
  <c r="F24" i="17"/>
  <c r="E24" i="17"/>
  <c r="D24" i="17"/>
  <c r="C24" i="17"/>
  <c r="F23" i="17"/>
  <c r="E23" i="17"/>
  <c r="D23" i="17"/>
  <c r="C23" i="17"/>
  <c r="F22" i="17"/>
  <c r="E22" i="17"/>
  <c r="D22" i="17"/>
  <c r="C22" i="17"/>
  <c r="F21" i="17"/>
  <c r="E21" i="17"/>
  <c r="D21" i="17"/>
  <c r="C21" i="17"/>
  <c r="F20" i="17"/>
  <c r="E20" i="17"/>
  <c r="D20" i="17"/>
  <c r="C20" i="17"/>
  <c r="F19" i="17"/>
  <c r="E19" i="17"/>
  <c r="D19" i="17"/>
  <c r="C19" i="17"/>
  <c r="F18" i="17"/>
  <c r="E18" i="17"/>
  <c r="D18" i="17"/>
  <c r="C18" i="17"/>
  <c r="F17" i="17"/>
  <c r="E17" i="17"/>
  <c r="D17" i="17"/>
  <c r="C17" i="17"/>
  <c r="F16" i="17"/>
  <c r="E16" i="17"/>
  <c r="D16" i="17"/>
  <c r="C16" i="17"/>
  <c r="F15" i="17"/>
  <c r="E15" i="17"/>
  <c r="D15" i="17"/>
  <c r="C15" i="17"/>
  <c r="F14" i="17"/>
  <c r="E14" i="17"/>
  <c r="D14" i="17"/>
  <c r="C14" i="17"/>
  <c r="F13" i="17"/>
  <c r="E13" i="17"/>
  <c r="D13" i="17"/>
  <c r="C13" i="17"/>
  <c r="F12" i="17"/>
  <c r="E12" i="17"/>
  <c r="D12" i="17"/>
  <c r="C12" i="17"/>
  <c r="F11" i="17"/>
  <c r="E11" i="17"/>
  <c r="D11" i="17"/>
  <c r="C11" i="17"/>
  <c r="F10" i="17"/>
  <c r="E10" i="17"/>
  <c r="D10" i="17"/>
  <c r="C10" i="17"/>
  <c r="F9" i="17"/>
  <c r="D9" i="17"/>
  <c r="J9" i="17" s="1"/>
  <c r="E55" i="16"/>
  <c r="D55" i="16"/>
  <c r="C55" i="16"/>
  <c r="E54" i="16"/>
  <c r="D54" i="16"/>
  <c r="C54" i="16"/>
  <c r="E53" i="16"/>
  <c r="D53" i="16"/>
  <c r="C53" i="16"/>
  <c r="E52" i="16"/>
  <c r="D52" i="16"/>
  <c r="C52" i="16"/>
  <c r="E51" i="16"/>
  <c r="D51" i="16"/>
  <c r="C51" i="16"/>
  <c r="E50" i="16"/>
  <c r="D50" i="16"/>
  <c r="C50" i="16"/>
  <c r="E49" i="16"/>
  <c r="D49" i="16"/>
  <c r="C49" i="16"/>
  <c r="E48" i="16"/>
  <c r="D48" i="16"/>
  <c r="C48" i="16"/>
  <c r="E47" i="16"/>
  <c r="D47" i="16"/>
  <c r="C47" i="16"/>
  <c r="E46" i="16"/>
  <c r="D46" i="16"/>
  <c r="C46" i="16"/>
  <c r="E45" i="16"/>
  <c r="D45" i="16"/>
  <c r="C45" i="16"/>
  <c r="E44" i="16"/>
  <c r="D44" i="16"/>
  <c r="C44" i="16"/>
  <c r="E43" i="16"/>
  <c r="D43" i="16"/>
  <c r="C43" i="16"/>
  <c r="E42" i="16"/>
  <c r="D42" i="16"/>
  <c r="C42" i="16"/>
  <c r="E41" i="16"/>
  <c r="D41" i="16"/>
  <c r="C41" i="16"/>
  <c r="E40" i="16"/>
  <c r="D40" i="16"/>
  <c r="C40" i="16"/>
  <c r="E39" i="16"/>
  <c r="D39" i="16"/>
  <c r="C39" i="16"/>
  <c r="E38" i="16"/>
  <c r="D38" i="16"/>
  <c r="C38" i="16"/>
  <c r="E37" i="16"/>
  <c r="D37" i="16"/>
  <c r="C37" i="16"/>
  <c r="E36" i="16"/>
  <c r="D36" i="16"/>
  <c r="C36" i="16"/>
  <c r="E35" i="16"/>
  <c r="D35" i="16"/>
  <c r="C35" i="16"/>
  <c r="E34" i="16"/>
  <c r="D34" i="16"/>
  <c r="C34" i="16"/>
  <c r="E33" i="16"/>
  <c r="D33" i="16"/>
  <c r="C33" i="16"/>
  <c r="E32" i="16"/>
  <c r="D32" i="16"/>
  <c r="C32" i="16"/>
  <c r="E31" i="16"/>
  <c r="D31" i="16"/>
  <c r="C31" i="16"/>
  <c r="E30" i="16"/>
  <c r="D30" i="16"/>
  <c r="C30" i="16"/>
  <c r="E29" i="16"/>
  <c r="D29" i="16"/>
  <c r="C29" i="16"/>
  <c r="E28" i="16"/>
  <c r="D28" i="16"/>
  <c r="C28" i="16"/>
  <c r="E27" i="16"/>
  <c r="D27" i="16"/>
  <c r="C27" i="16"/>
  <c r="E26" i="16"/>
  <c r="D26" i="16"/>
  <c r="C26" i="16"/>
  <c r="E25" i="16"/>
  <c r="D25" i="16"/>
  <c r="C25" i="16"/>
  <c r="E24" i="16"/>
  <c r="D24" i="16"/>
  <c r="C24" i="16"/>
  <c r="E23" i="16"/>
  <c r="D23" i="16"/>
  <c r="C23" i="16"/>
  <c r="E22" i="16"/>
  <c r="D22" i="16"/>
  <c r="C22" i="16"/>
  <c r="E21" i="16"/>
  <c r="D21" i="16"/>
  <c r="C21" i="16"/>
  <c r="E20" i="16"/>
  <c r="D20" i="16"/>
  <c r="C20" i="16"/>
  <c r="E19" i="16"/>
  <c r="D19" i="16"/>
  <c r="C19" i="16"/>
  <c r="E18" i="16"/>
  <c r="D18" i="16"/>
  <c r="C18" i="16"/>
  <c r="E17" i="16"/>
  <c r="D17" i="16"/>
  <c r="C17" i="16"/>
  <c r="E16" i="16"/>
  <c r="D16" i="16"/>
  <c r="C16" i="16"/>
  <c r="E15" i="16"/>
  <c r="D15" i="16"/>
  <c r="C15" i="16"/>
  <c r="E14" i="16"/>
  <c r="D14" i="16"/>
  <c r="C14" i="16"/>
  <c r="E13" i="16"/>
  <c r="D13" i="16"/>
  <c r="C13" i="16"/>
  <c r="E12" i="16"/>
  <c r="D12" i="16"/>
  <c r="C12" i="16"/>
  <c r="E11" i="16"/>
  <c r="D11" i="16"/>
  <c r="C11" i="16"/>
  <c r="E10" i="16"/>
  <c r="D10" i="16"/>
  <c r="C10" i="16"/>
  <c r="E9" i="16"/>
  <c r="D9" i="16"/>
  <c r="C9" i="16"/>
  <c r="E8" i="16"/>
  <c r="D8" i="16"/>
  <c r="C8" i="16"/>
  <c r="E7" i="16"/>
  <c r="D7" i="16"/>
  <c r="C7" i="16"/>
  <c r="E6" i="16"/>
  <c r="D6" i="16"/>
  <c r="C6" i="16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J11" i="17" l="1"/>
  <c r="J13" i="17"/>
  <c r="J15" i="17"/>
  <c r="J17" i="17"/>
  <c r="J19" i="17"/>
  <c r="J21" i="17"/>
  <c r="J23" i="17"/>
  <c r="J25" i="17"/>
  <c r="J27" i="17"/>
  <c r="J29" i="17"/>
  <c r="J31" i="17"/>
  <c r="J33" i="17"/>
  <c r="J35" i="17"/>
  <c r="J37" i="17"/>
  <c r="J39" i="17"/>
  <c r="J41" i="17"/>
  <c r="J43" i="17"/>
  <c r="J45" i="17"/>
  <c r="J47" i="17"/>
  <c r="J49" i="17"/>
  <c r="J51" i="17"/>
  <c r="J53" i="17"/>
  <c r="J55" i="17"/>
  <c r="J57" i="17"/>
  <c r="J10" i="17"/>
  <c r="J12" i="17"/>
  <c r="J14" i="17"/>
  <c r="J16" i="17"/>
  <c r="J18" i="17"/>
  <c r="J22" i="17"/>
  <c r="J24" i="17"/>
  <c r="J26" i="17"/>
  <c r="J28" i="17"/>
  <c r="J30" i="17"/>
  <c r="J32" i="17"/>
  <c r="J34" i="17"/>
  <c r="J36" i="17"/>
  <c r="J38" i="17"/>
  <c r="J40" i="17"/>
  <c r="J42" i="17"/>
  <c r="J44" i="17"/>
  <c r="J46" i="17"/>
  <c r="J48" i="17"/>
  <c r="J50" i="17"/>
  <c r="J52" i="17"/>
  <c r="J54" i="17"/>
  <c r="J56" i="17"/>
  <c r="J20" i="17"/>
  <c r="G9" i="17"/>
  <c r="I9" i="17" s="1"/>
  <c r="J58" i="17"/>
  <c r="F6" i="16"/>
  <c r="G15" i="17"/>
  <c r="G33" i="17"/>
  <c r="G35" i="17"/>
  <c r="G39" i="17"/>
  <c r="G41" i="17"/>
  <c r="G45" i="17"/>
  <c r="G49" i="17"/>
  <c r="G51" i="17"/>
  <c r="G53" i="17"/>
  <c r="G55" i="17"/>
  <c r="G32" i="17"/>
  <c r="G40" i="17"/>
  <c r="G42" i="17"/>
  <c r="G44" i="17"/>
  <c r="G50" i="17"/>
  <c r="G52" i="17"/>
  <c r="G58" i="17"/>
  <c r="G21" i="17"/>
  <c r="G27" i="17"/>
  <c r="G31" i="17"/>
  <c r="G11" i="17"/>
  <c r="G13" i="17"/>
  <c r="G37" i="17"/>
  <c r="G47" i="17"/>
  <c r="G17" i="17"/>
  <c r="G19" i="17"/>
  <c r="G23" i="17"/>
  <c r="G25" i="17"/>
  <c r="G29" i="17"/>
  <c r="G57" i="17"/>
  <c r="G10" i="17"/>
  <c r="G16" i="17"/>
  <c r="G22" i="17"/>
  <c r="G24" i="17"/>
  <c r="G26" i="17"/>
  <c r="G12" i="17"/>
  <c r="G28" i="17"/>
  <c r="G46" i="17"/>
  <c r="G14" i="17"/>
  <c r="G30" i="17"/>
  <c r="G48" i="17"/>
  <c r="G18" i="17"/>
  <c r="G34" i="17"/>
  <c r="G43" i="17"/>
  <c r="G54" i="17"/>
  <c r="G20" i="17"/>
  <c r="G36" i="17"/>
  <c r="G56" i="17"/>
  <c r="G38" i="17"/>
  <c r="J59" i="17" l="1"/>
  <c r="E64" i="17" s="1"/>
  <c r="C7" i="12" s="1"/>
  <c r="H49" i="17"/>
  <c r="I49" i="17"/>
  <c r="I46" i="17"/>
  <c r="H46" i="17"/>
  <c r="I45" i="17"/>
  <c r="H45" i="17"/>
  <c r="I10" i="17"/>
  <c r="H10" i="17"/>
  <c r="I20" i="17"/>
  <c r="H20" i="17"/>
  <c r="I28" i="17"/>
  <c r="H28" i="17"/>
  <c r="I29" i="17"/>
  <c r="H29" i="17"/>
  <c r="I11" i="17"/>
  <c r="H11" i="17"/>
  <c r="I42" i="17"/>
  <c r="H42" i="17"/>
  <c r="H41" i="17"/>
  <c r="I41" i="17"/>
  <c r="H40" i="17"/>
  <c r="I40" i="17"/>
  <c r="I39" i="17"/>
  <c r="H39" i="17"/>
  <c r="I37" i="17"/>
  <c r="H37" i="17"/>
  <c r="I13" i="17"/>
  <c r="H13" i="17"/>
  <c r="I43" i="17"/>
  <c r="H43" i="17"/>
  <c r="I23" i="17"/>
  <c r="H23" i="17"/>
  <c r="I27" i="17"/>
  <c r="H27" i="17"/>
  <c r="H32" i="17"/>
  <c r="I32" i="17"/>
  <c r="H35" i="17"/>
  <c r="I35" i="17"/>
  <c r="H50" i="17"/>
  <c r="I50" i="17"/>
  <c r="I54" i="17"/>
  <c r="H54" i="17"/>
  <c r="I12" i="17"/>
  <c r="H12" i="17"/>
  <c r="I55" i="17"/>
  <c r="H55" i="17"/>
  <c r="H33" i="17"/>
  <c r="I33" i="17"/>
  <c r="I36" i="17"/>
  <c r="H36" i="17"/>
  <c r="H57" i="17"/>
  <c r="I57" i="17"/>
  <c r="H25" i="17"/>
  <c r="I25" i="17"/>
  <c r="I34" i="17"/>
  <c r="H34" i="17"/>
  <c r="I18" i="17"/>
  <c r="H18" i="17"/>
  <c r="I38" i="17"/>
  <c r="H38" i="17"/>
  <c r="H17" i="17"/>
  <c r="I17" i="17"/>
  <c r="I58" i="17"/>
  <c r="H58" i="17"/>
  <c r="I53" i="17"/>
  <c r="H53" i="17"/>
  <c r="I15" i="17"/>
  <c r="H15" i="17"/>
  <c r="I14" i="17"/>
  <c r="H14" i="17"/>
  <c r="I44" i="17"/>
  <c r="H44" i="17"/>
  <c r="I31" i="17"/>
  <c r="H31" i="17"/>
  <c r="I26" i="17"/>
  <c r="H26" i="17"/>
  <c r="H24" i="17"/>
  <c r="I24" i="17"/>
  <c r="H19" i="17"/>
  <c r="I19" i="17"/>
  <c r="I21" i="17"/>
  <c r="H21" i="17"/>
  <c r="I48" i="17"/>
  <c r="H48" i="17"/>
  <c r="I22" i="17"/>
  <c r="H22" i="17"/>
  <c r="I56" i="17"/>
  <c r="H56" i="17"/>
  <c r="I30" i="17"/>
  <c r="H30" i="17"/>
  <c r="I16" i="17"/>
  <c r="H16" i="17"/>
  <c r="I47" i="17"/>
  <c r="H47" i="17"/>
  <c r="I52" i="17"/>
  <c r="H52" i="17"/>
  <c r="H51" i="17"/>
  <c r="I51" i="17"/>
  <c r="B28" i="4" l="1"/>
  <c r="C37" i="10" l="1"/>
  <c r="D20" i="12" s="1"/>
  <c r="H9" i="17" l="1"/>
  <c r="H59" i="17" s="1"/>
  <c r="I59" i="17"/>
  <c r="G59" i="17"/>
  <c r="D64" i="17" s="1"/>
  <c r="F11" i="16" l="1"/>
  <c r="F19" i="16"/>
  <c r="F27" i="16"/>
  <c r="F35" i="16"/>
  <c r="F43" i="16"/>
  <c r="F51" i="16"/>
  <c r="F12" i="16"/>
  <c r="F20" i="16"/>
  <c r="F28" i="16"/>
  <c r="F36" i="16"/>
  <c r="F44" i="16"/>
  <c r="F52" i="16"/>
  <c r="F13" i="16"/>
  <c r="F21" i="16"/>
  <c r="F29" i="16"/>
  <c r="F37" i="16"/>
  <c r="F45" i="16"/>
  <c r="F53" i="16"/>
  <c r="F14" i="16"/>
  <c r="F22" i="16"/>
  <c r="F30" i="16"/>
  <c r="F38" i="16"/>
  <c r="F46" i="16"/>
  <c r="F54" i="16"/>
  <c r="F7" i="16"/>
  <c r="F15" i="16"/>
  <c r="F23" i="16"/>
  <c r="F31" i="16"/>
  <c r="F39" i="16"/>
  <c r="F47" i="16"/>
  <c r="F55" i="16"/>
  <c r="F8" i="16"/>
  <c r="F16" i="16"/>
  <c r="F24" i="16"/>
  <c r="F32" i="16"/>
  <c r="F40" i="16"/>
  <c r="F48" i="16"/>
  <c r="F9" i="16"/>
  <c r="F17" i="16"/>
  <c r="F25" i="16"/>
  <c r="F33" i="16"/>
  <c r="F41" i="16"/>
  <c r="F49" i="16"/>
  <c r="F10" i="16"/>
  <c r="F18" i="16"/>
  <c r="F26" i="16"/>
  <c r="F34" i="16"/>
  <c r="F42" i="16"/>
  <c r="F50" i="16"/>
  <c r="F56" i="16" l="1"/>
  <c r="C6" i="12" s="1"/>
  <c r="G64" i="17" l="1"/>
  <c r="C9" i="12" s="1"/>
  <c r="F64" i="17" l="1"/>
  <c r="C8" i="12" l="1"/>
  <c r="C10" i="12" s="1"/>
  <c r="D66" i="17"/>
  <c r="C17" i="12"/>
  <c r="C12" i="12"/>
  <c r="C26" i="11" l="1"/>
  <c r="C33" i="11" s="1"/>
  <c r="C11" i="12" s="1"/>
  <c r="C14" i="12" s="1"/>
  <c r="D17" i="12" l="1"/>
  <c r="C21" i="12" s="1"/>
  <c r="D21" i="12" s="1"/>
  <c r="C22" i="12" l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E17" i="12"/>
  <c r="D22" i="12" l="1"/>
  <c r="D23" i="12" s="1"/>
  <c r="D24" i="12" l="1"/>
  <c r="D25" i="12" s="1"/>
  <c r="D26" i="12" s="1"/>
  <c r="D27" i="12" s="1"/>
  <c r="D28" i="12" s="1"/>
  <c r="D29" i="12" s="1"/>
  <c r="D30" i="12" s="1"/>
  <c r="D31" i="12" s="1"/>
  <c r="D32" i="12" s="1"/>
</calcChain>
</file>

<file path=xl/sharedStrings.xml><?xml version="1.0" encoding="utf-8"?>
<sst xmlns="http://schemas.openxmlformats.org/spreadsheetml/2006/main" count="274" uniqueCount="193">
  <si>
    <t>PV</t>
  </si>
  <si>
    <t>Salário</t>
  </si>
  <si>
    <t>Total</t>
  </si>
  <si>
    <t>Produto</t>
  </si>
  <si>
    <t>Folha de Pagamento</t>
  </si>
  <si>
    <t>Cargo</t>
  </si>
  <si>
    <t>Encargos</t>
  </si>
  <si>
    <t>Vagas</t>
  </si>
  <si>
    <t>AGUA E ESGOTO</t>
  </si>
  <si>
    <t>ALUGUEL</t>
  </si>
  <si>
    <t>ALUGUEL DE SISTEMAS</t>
  </si>
  <si>
    <t>CAFE, LANCHES E AGUA</t>
  </si>
  <si>
    <t>COMBUSTIVEL</t>
  </si>
  <si>
    <t>DESPESAS COM VEICULO</t>
  </si>
  <si>
    <t>ENERGIA ELETRICA</t>
  </si>
  <si>
    <t>HONORARIOS CONTABEIS</t>
  </si>
  <si>
    <t>MANUTENÇOES EM INFORMATICA</t>
  </si>
  <si>
    <t>MATERIAL DE ESCRITORIO</t>
  </si>
  <si>
    <t>MATERIAL DE HIGIENE E LIMPEZA</t>
  </si>
  <si>
    <t>PROPAGANDA E PUBLICIDADE</t>
  </si>
  <si>
    <t>INTERNET</t>
  </si>
  <si>
    <t>TELEFONIA CELULAR</t>
  </si>
  <si>
    <t>SALARIOS E ORDENADOS</t>
  </si>
  <si>
    <t>TREINAMENTOS</t>
  </si>
  <si>
    <t>PRO-LABORE</t>
  </si>
  <si>
    <t>(6) Despesas</t>
  </si>
  <si>
    <t>Mês</t>
  </si>
  <si>
    <t>Despesas</t>
  </si>
  <si>
    <t>Compras</t>
  </si>
  <si>
    <t>Impostos</t>
  </si>
  <si>
    <t>Investimentos</t>
  </si>
  <si>
    <t>Resultado Mensal</t>
  </si>
  <si>
    <t>Resultado acumulado</t>
  </si>
  <si>
    <t>Recebimentos à vista</t>
  </si>
  <si>
    <t>Recebimentos em cartão</t>
  </si>
  <si>
    <t>Receitas totais</t>
  </si>
  <si>
    <t>G-I</t>
  </si>
  <si>
    <t>ID</t>
  </si>
  <si>
    <t>Fornecedor</t>
  </si>
  <si>
    <t>Preço de venda</t>
  </si>
  <si>
    <t>Unidades vendidas por mês</t>
  </si>
  <si>
    <t>Item</t>
  </si>
  <si>
    <t>Valor do investimento</t>
  </si>
  <si>
    <t>Uniformes</t>
  </si>
  <si>
    <t>Produtos de limpeza</t>
  </si>
  <si>
    <t>Reforma</t>
  </si>
  <si>
    <t>Fachada</t>
  </si>
  <si>
    <t>Computadores</t>
  </si>
  <si>
    <t>Geladeira</t>
  </si>
  <si>
    <t>Microondas</t>
  </si>
  <si>
    <t>Impressoras</t>
  </si>
  <si>
    <t>Implantação de sistema</t>
  </si>
  <si>
    <t>Cadeiras</t>
  </si>
  <si>
    <t>Mesas</t>
  </si>
  <si>
    <t>Copos e jarras</t>
  </si>
  <si>
    <t>Coquetel de inauguração</t>
  </si>
  <si>
    <t>Consultorias</t>
  </si>
  <si>
    <t>Compra de veículos</t>
  </si>
  <si>
    <t>Honorários Advocatícios</t>
  </si>
  <si>
    <t>Honorários Contábeis</t>
  </si>
  <si>
    <t>Marcas e Patentes</t>
  </si>
  <si>
    <t>Material de Escritório</t>
  </si>
  <si>
    <t>Propaganda e Publicidade</t>
  </si>
  <si>
    <t>Taxas e Emolumentos</t>
  </si>
  <si>
    <t>Despesas de Viagem</t>
  </si>
  <si>
    <t>Equipamento Telefônico Fixo</t>
  </si>
  <si>
    <t>Equipamento Telefônico Móvel</t>
  </si>
  <si>
    <t>Associações e Conselhos de Classe</t>
  </si>
  <si>
    <t>Segurança e Medicina Ocupacional</t>
  </si>
  <si>
    <t>Treinamentos</t>
  </si>
  <si>
    <t>Vendedor</t>
  </si>
  <si>
    <t>Valor mensal</t>
  </si>
  <si>
    <t>ASSOCIAÇÕES E CONSELHOS DE CLASSE</t>
  </si>
  <si>
    <t>ALIMENTAÇÃO</t>
  </si>
  <si>
    <t>CONSULTORIAS</t>
  </si>
  <si>
    <t>HONORARIOS ADVOCATÍCIOS</t>
  </si>
  <si>
    <t>MARCAS E PATENTES</t>
  </si>
  <si>
    <t>SEGUROS</t>
  </si>
  <si>
    <t>UNIFORMES</t>
  </si>
  <si>
    <t>Showroom</t>
  </si>
  <si>
    <t>Vendas/Mês 
referência</t>
  </si>
  <si>
    <t>Frete</t>
  </si>
  <si>
    <t>Totalizadores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</si>
  <si>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</si>
  <si>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</si>
  <si>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</si>
  <si>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</si>
  <si>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</si>
  <si>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</si>
  <si>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</si>
  <si>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</si>
  <si>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</si>
  <si>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</si>
  <si>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</si>
  <si>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</si>
  <si>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Venda</t>
  </si>
  <si>
    <t>Custo</t>
  </si>
  <si>
    <t>(2) Custos dos Produtos Vendidos</t>
  </si>
  <si>
    <t>(3) Comissões</t>
  </si>
  <si>
    <t>(4) Frete</t>
  </si>
  <si>
    <t>Obs impostos:</t>
  </si>
  <si>
    <t>ICMS - calculado sobre o faturamento, pois o frete não vêm destacado na nota</t>
  </si>
  <si>
    <t>PIS / COFINS - retira-se 5% do valor, que é o IPI, mas não se retira o frete pois não vêm destacado na NF</t>
  </si>
  <si>
    <t>O salário é formado por um fixo + comissão</t>
  </si>
  <si>
    <t>Se a comissão sobre o faturamento não exceder o fixo, pagamos somente o fixo.</t>
  </si>
  <si>
    <t>Se a comissão sobre o faturamento exceder o fixo, pagamos o fixo mais a diferença (não acumula)</t>
  </si>
  <si>
    <t>INSS. ........................................20,00%</t>
  </si>
  <si>
    <t>SENAI / SENAC.................................1,00%</t>
  </si>
  <si>
    <t>SESI / SESC...................................1,50%</t>
  </si>
  <si>
    <t>SALÁRIO EDUCAÇÃO..............................2,50%</t>
  </si>
  <si>
    <t>INCRA.........................................0,20%</t>
  </si>
  <si>
    <t>SEBRAE(*).....................................0,60%</t>
  </si>
  <si>
    <t>SAT(**).......................................2,00%</t>
  </si>
  <si>
    <t>(*) Variável de 0,3 a 0,6% conforme Legislação Previdenciária.</t>
  </si>
  <si>
    <t>(**) SAT (Seguro Acidente de Trabalho) é de 1%, 2% ou 3%, dependendo do grau de risco da empresa ser pequeno, médio ou grande respectivamente.</t>
  </si>
  <si>
    <t>Unidades vendidas
por mês</t>
  </si>
  <si>
    <t>Receita</t>
  </si>
  <si>
    <t>Lucro Líquido</t>
  </si>
  <si>
    <t>Proporção</t>
  </si>
  <si>
    <t xml:space="preserve">(5) Lucro Operacional Bruto </t>
  </si>
  <si>
    <t>(9) Lucro Líquido</t>
  </si>
  <si>
    <t>Fornecedor A</t>
  </si>
  <si>
    <t>Fornecedor B</t>
  </si>
  <si>
    <t>Fornecedor C</t>
  </si>
  <si>
    <t>Markup</t>
  </si>
  <si>
    <t xml:space="preserve">Unidades vendidas por mês </t>
  </si>
  <si>
    <t xml:space="preserve">Comissão </t>
  </si>
  <si>
    <t>Comissão</t>
  </si>
  <si>
    <t>Recepcionista</t>
  </si>
  <si>
    <t xml:space="preserve">TELEFONIA FIXO </t>
  </si>
  <si>
    <t>MANUTENÇÕES DIVERSAS</t>
  </si>
  <si>
    <t>(8) Impostos</t>
  </si>
  <si>
    <t>(7) Folha de pagamento</t>
  </si>
  <si>
    <t>(1) Recebimentos</t>
  </si>
  <si>
    <t>Saldo investimento</t>
  </si>
  <si>
    <t>Inauguração</t>
  </si>
  <si>
    <t>Resultado</t>
  </si>
  <si>
    <t>Custo un</t>
  </si>
  <si>
    <t>PV un</t>
  </si>
  <si>
    <t>Resultado Bruto</t>
  </si>
  <si>
    <t>Planilha de fluxo de caixa e análise financeira</t>
  </si>
  <si>
    <t>Autor: Arthur Santini</t>
  </si>
  <si>
    <t>Sistema 1 kWp</t>
  </si>
  <si>
    <t>Sistema 2 kWp</t>
  </si>
  <si>
    <t>Sistema 3 kWp</t>
  </si>
  <si>
    <t>Sistema 4 kWp</t>
  </si>
  <si>
    <t>Sistema 5 kWp</t>
  </si>
  <si>
    <t>Sistema 10 kWp</t>
  </si>
  <si>
    <t>Sistema 15 kWp</t>
  </si>
  <si>
    <t>Sistema 20 kWp</t>
  </si>
  <si>
    <t>Sistema 30 kWp</t>
  </si>
  <si>
    <t>Sistema 40 kWp</t>
  </si>
  <si>
    <t>Sistema 50 kWp</t>
  </si>
  <si>
    <t>Sistema 100 kWp</t>
  </si>
  <si>
    <t>Sistema 200 kWp</t>
  </si>
  <si>
    <t>Sistema 300 kWp</t>
  </si>
  <si>
    <t>Sistema 400 kWp</t>
  </si>
  <si>
    <t>Sistema 500 kWp</t>
  </si>
  <si>
    <t>Ecori</t>
  </si>
  <si>
    <t>Limpeza de paineis</t>
  </si>
  <si>
    <t>Próprio</t>
  </si>
  <si>
    <t>Projeto pequeno porte</t>
  </si>
  <si>
    <t>Projeto médio porte</t>
  </si>
  <si>
    <t>Projeto grande porte</t>
  </si>
  <si>
    <t>Ferramentas</t>
  </si>
  <si>
    <t>Insumos iniciais</t>
  </si>
  <si>
    <t>Instalador Pleno</t>
  </si>
  <si>
    <t>Instalador Junior</t>
  </si>
  <si>
    <t xml:space="preserve">Autor: Arthur Santini </t>
  </si>
  <si>
    <t>FERRAMENTAS</t>
  </si>
  <si>
    <t>Preço de Custo Produto</t>
  </si>
  <si>
    <t>Serviços</t>
  </si>
  <si>
    <t>* Base total ou base faturamento direto?</t>
  </si>
  <si>
    <t>Decoração</t>
  </si>
  <si>
    <t>Seja bem vindo à planilha de fluxo de caixa / simulação de uma empresa de revenda / integração de energia solar fotovoltaica.</t>
  </si>
  <si>
    <t>https://www.youtube.com/watch?v=9srPcGMhInw</t>
  </si>
  <si>
    <t>Observações:</t>
  </si>
  <si>
    <r>
      <t xml:space="preserve">1. Esta planilha é apenas para simulação, todos os seus valores são </t>
    </r>
    <r>
      <rPr>
        <u/>
        <sz val="11"/>
        <color theme="1"/>
        <rFont val="Calibri"/>
        <family val="2"/>
        <scheme val="minor"/>
      </rPr>
      <t>fictícios</t>
    </r>
    <r>
      <rPr>
        <sz val="11"/>
        <color theme="1"/>
        <rFont val="Calibri"/>
        <family val="2"/>
        <scheme val="minor"/>
      </rPr>
      <t>.</t>
    </r>
  </si>
  <si>
    <t>2. As planilha de produtos, vendas (q), Custo de Venda, Investimentos, FOPAG e Despesas devem ser  preenchidas</t>
  </si>
  <si>
    <t>de acordo com a realidade de cada empresa.</t>
  </si>
  <si>
    <t>3. As planilhas de Vendas (R$) e Análise são calculadas automaticamente.</t>
  </si>
  <si>
    <t>4. Ao utilizar a planilha, leve em consideração que ela é um guia para auxiliar a sua tomada de decisão, e não deve ser</t>
  </si>
  <si>
    <t>adotada como única ferramenta. Não deixe de consultar seu contador e advogado para se certificar dos itens e valores.</t>
  </si>
  <si>
    <t>Esta planilha foi apresentada no webnário realizado em 06/05/2020 e está disponível no canal do YouTube da Ecori Energia Solar:</t>
  </si>
  <si>
    <t>Conheça mais a Ecori Energia Solar!</t>
  </si>
  <si>
    <t>Visite nosso site</t>
  </si>
  <si>
    <t>Cadastre-se na plataforma EcoriOnline</t>
  </si>
  <si>
    <t>Já tem cadastro? Clique para logar</t>
  </si>
  <si>
    <t>Fale conosco pelo WhatsApp</t>
  </si>
  <si>
    <t>Youtube</t>
  </si>
  <si>
    <t>Instagram</t>
  </si>
  <si>
    <t>Facebook</t>
  </si>
  <si>
    <t>Linkedin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</si>
</sst>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_-[$R$-416]\ * #,##0.00_-;\-[$R$-416]\ * #,##0.00_-;_-[$R$-416]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1"/>
      <color rgb="FFFF0000"/>
      <name val="Calibri"/>
      <family val="2"/>
      <scheme val="minor"/>
    </font>
    <font>
      <b/>
      <sz val="11"/>
      <color rgb="FFFF0000"/>
      <name val="Calibri Light"/>
      <family val="2"/>
      <scheme val="major"/>
    </font>
    <font>
      <b/>
      <sz val="11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44" fontId="0" fillId="0" borderId="1" xfId="0" applyNumberFormat="1" applyBorder="1"/>
    <xf numFmtId="8" fontId="0" fillId="0" borderId="1" xfId="0" applyNumberFormat="1" applyBorder="1"/>
    <xf numFmtId="0" fontId="0" fillId="2" borderId="0" xfId="0" applyFill="1"/>
    <xf numFmtId="164" fontId="3" fillId="2" borderId="0" xfId="2" applyFont="1" applyFill="1" applyAlignment="1">
      <alignment horizontal="center"/>
    </xf>
    <xf numFmtId="0" fontId="3" fillId="2" borderId="0" xfId="0" applyFont="1" applyFill="1"/>
    <xf numFmtId="0" fontId="0" fillId="2" borderId="2" xfId="0" applyFill="1" applyBorder="1"/>
    <xf numFmtId="165" fontId="0" fillId="2" borderId="2" xfId="2" applyNumberFormat="1" applyFont="1" applyFill="1" applyBorder="1"/>
    <xf numFmtId="9" fontId="0" fillId="2" borderId="2" xfId="2" applyNumberFormat="1" applyFont="1" applyFill="1" applyBorder="1"/>
    <xf numFmtId="0" fontId="4" fillId="3" borderId="2" xfId="0" applyFont="1" applyFill="1" applyBorder="1"/>
    <xf numFmtId="164" fontId="4" fillId="3" borderId="2" xfId="2" applyFont="1" applyFill="1" applyBorder="1"/>
    <xf numFmtId="0" fontId="2" fillId="2" borderId="0" xfId="0" applyFont="1" applyFill="1"/>
    <xf numFmtId="0" fontId="10" fillId="4" borderId="0" xfId="0" applyFont="1" applyFill="1"/>
    <xf numFmtId="0" fontId="10" fillId="5" borderId="0" xfId="0" applyFont="1" applyFill="1"/>
    <xf numFmtId="0" fontId="4" fillId="3" borderId="2" xfId="0" applyFont="1" applyFill="1" applyBorder="1" applyAlignment="1">
      <alignment wrapText="1"/>
    </xf>
    <xf numFmtId="164" fontId="0" fillId="2" borderId="0" xfId="2" applyFont="1" applyFill="1"/>
    <xf numFmtId="165" fontId="0" fillId="2" borderId="2" xfId="0" applyNumberFormat="1" applyFill="1" applyBorder="1"/>
    <xf numFmtId="0" fontId="0" fillId="3" borderId="0" xfId="0" applyFill="1"/>
    <xf numFmtId="164" fontId="4" fillId="3" borderId="3" xfId="2" applyFont="1" applyFill="1" applyBorder="1"/>
    <xf numFmtId="164" fontId="4" fillId="3" borderId="3" xfId="2" applyFont="1" applyFill="1" applyBorder="1" applyAlignment="1">
      <alignment wrapText="1"/>
    </xf>
    <xf numFmtId="0" fontId="5" fillId="2" borderId="0" xfId="0" applyFont="1" applyFill="1"/>
    <xf numFmtId="165" fontId="5" fillId="2" borderId="2" xfId="0" applyNumberFormat="1" applyFont="1" applyFill="1" applyBorder="1"/>
    <xf numFmtId="165" fontId="0" fillId="2" borderId="1" xfId="0" applyNumberFormat="1" applyFill="1" applyBorder="1"/>
    <xf numFmtId="0" fontId="2" fillId="2" borderId="1" xfId="0" applyFont="1" applyFill="1" applyBorder="1"/>
    <xf numFmtId="0" fontId="9" fillId="6" borderId="1" xfId="0" applyFont="1" applyFill="1" applyBorder="1"/>
    <xf numFmtId="10" fontId="9" fillId="6" borderId="1" xfId="0" applyNumberFormat="1" applyFont="1" applyFill="1" applyBorder="1"/>
    <xf numFmtId="0" fontId="4" fillId="6" borderId="2" xfId="0" applyFont="1" applyFill="1" applyBorder="1"/>
    <xf numFmtId="0" fontId="4" fillId="6" borderId="2" xfId="0" applyFont="1" applyFill="1" applyBorder="1" applyAlignment="1">
      <alignment wrapText="1"/>
    </xf>
    <xf numFmtId="0" fontId="4" fillId="6" borderId="3" xfId="0" applyFont="1" applyFill="1" applyBorder="1"/>
    <xf numFmtId="164" fontId="4" fillId="6" borderId="3" xfId="2" applyFont="1" applyFill="1" applyBorder="1"/>
    <xf numFmtId="164" fontId="4" fillId="6" borderId="3" xfId="2" applyFont="1" applyFill="1" applyBorder="1" applyAlignment="1">
      <alignment wrapText="1"/>
    </xf>
    <xf numFmtId="164" fontId="6" fillId="6" borderId="3" xfId="2" applyFont="1" applyFill="1" applyBorder="1" applyAlignment="1">
      <alignment wrapText="1"/>
    </xf>
    <xf numFmtId="0" fontId="9" fillId="6" borderId="0" xfId="0" applyFont="1" applyFill="1"/>
    <xf numFmtId="165" fontId="9" fillId="6" borderId="2" xfId="0" applyNumberFormat="1" applyFont="1" applyFill="1" applyBorder="1"/>
    <xf numFmtId="165" fontId="2" fillId="2" borderId="1" xfId="0" applyNumberFormat="1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165" fontId="11" fillId="2" borderId="1" xfId="0" applyNumberFormat="1" applyFont="1" applyFill="1" applyBorder="1"/>
    <xf numFmtId="165" fontId="12" fillId="2" borderId="1" xfId="0" applyNumberFormat="1" applyFont="1" applyFill="1" applyBorder="1"/>
    <xf numFmtId="0" fontId="0" fillId="2" borderId="0" xfId="0" quotePrefix="1" applyFill="1"/>
    <xf numFmtId="165" fontId="9" fillId="3" borderId="2" xfId="0" applyNumberFormat="1" applyFont="1" applyFill="1" applyBorder="1"/>
    <xf numFmtId="0" fontId="2" fillId="2" borderId="0" xfId="0" applyFont="1" applyFill="1" applyBorder="1"/>
    <xf numFmtId="0" fontId="0" fillId="2" borderId="1" xfId="0" applyFill="1" applyBorder="1" applyAlignment="1">
      <alignment horizontal="center"/>
    </xf>
    <xf numFmtId="44" fontId="0" fillId="2" borderId="1" xfId="1" applyFont="1" applyFill="1" applyBorder="1"/>
    <xf numFmtId="44" fontId="0" fillId="2" borderId="0" xfId="1" applyFont="1" applyFill="1" applyBorder="1"/>
    <xf numFmtId="10" fontId="0" fillId="2" borderId="0" xfId="3" applyNumberFormat="1" applyFont="1" applyFill="1"/>
    <xf numFmtId="10" fontId="0" fillId="2" borderId="0" xfId="0" applyNumberFormat="1" applyFill="1"/>
    <xf numFmtId="44" fontId="2" fillId="2" borderId="0" xfId="1" applyFont="1" applyFill="1" applyBorder="1"/>
    <xf numFmtId="9" fontId="3" fillId="2" borderId="0" xfId="0" applyNumberFormat="1" applyFont="1" applyFill="1"/>
    <xf numFmtId="0" fontId="9" fillId="3" borderId="1" xfId="0" applyFont="1" applyFill="1" applyBorder="1"/>
    <xf numFmtId="44" fontId="9" fillId="3" borderId="1" xfId="1" applyFont="1" applyFill="1" applyBorder="1"/>
    <xf numFmtId="0" fontId="3" fillId="3" borderId="1" xfId="0" applyFont="1" applyFill="1" applyBorder="1"/>
    <xf numFmtId="9" fontId="0" fillId="2" borderId="0" xfId="3" applyFont="1" applyFill="1"/>
    <xf numFmtId="44" fontId="0" fillId="2" borderId="0" xfId="0" applyNumberFormat="1" applyFill="1" applyBorder="1"/>
    <xf numFmtId="44" fontId="0" fillId="2" borderId="1" xfId="0" applyNumberFormat="1" applyFill="1" applyBorder="1"/>
    <xf numFmtId="10" fontId="0" fillId="2" borderId="1" xfId="3" applyNumberFormat="1" applyFont="1" applyFill="1" applyBorder="1"/>
    <xf numFmtId="10" fontId="0" fillId="2" borderId="0" xfId="3" applyNumberFormat="1" applyFont="1" applyFill="1" applyBorder="1"/>
    <xf numFmtId="0" fontId="7" fillId="7" borderId="1" xfId="0" applyFont="1" applyFill="1" applyBorder="1"/>
    <xf numFmtId="44" fontId="8" fillId="7" borderId="1" xfId="0" applyNumberFormat="1" applyFont="1" applyFill="1" applyBorder="1"/>
    <xf numFmtId="0" fontId="2" fillId="8" borderId="1" xfId="0" applyFont="1" applyFill="1" applyBorder="1"/>
    <xf numFmtId="44" fontId="0" fillId="8" borderId="1" xfId="0" applyNumberFormat="1" applyFill="1" applyBorder="1"/>
    <xf numFmtId="165" fontId="9" fillId="3" borderId="0" xfId="0" applyNumberFormat="1" applyFont="1" applyFill="1"/>
    <xf numFmtId="165" fontId="2" fillId="2" borderId="2" xfId="0" applyNumberFormat="1" applyFont="1" applyFill="1" applyBorder="1"/>
    <xf numFmtId="0" fontId="13" fillId="2" borderId="0" xfId="4" applyFill="1"/>
    <xf numFmtId="0" fontId="0" fillId="9" borderId="0" xfId="0" applyFill="1"/>
    <xf numFmtId="0" fontId="2" fillId="9" borderId="0" xfId="0" applyFont="1" applyFill="1"/>
    <xf numFmtId="0" fontId="7" fillId="7" borderId="0" xfId="4" applyFont="1" applyFill="1" applyAlignment="1">
      <alignment horizontal="center" vertical="center"/>
    </xf>
    <xf numFmtId="0" fontId="7" fillId="7" borderId="0" xfId="4" applyFont="1" applyFill="1" applyAlignment="1">
      <alignment horizontal="center" vertical="center" wrapText="1"/>
    </xf>
    <xf numFmtId="0" fontId="7" fillId="7" borderId="0" xfId="4" applyFont="1" applyFill="1" applyAlignment="1">
      <alignment horizontal="center"/>
    </xf>
    <xf numFmtId="44" fontId="0" fillId="10" borderId="0" xfId="0" applyNumberFormat="1" applyFill="1" applyBorder="1"/>
  </cellXfs>
  <cellStyles count="5">
    <cellStyle name="Comma" xfId="2" builtinId="3"/>
    <cellStyle name="Currency" xfId="1" builtinId="4"/>
    <cellStyle name="Hyperlink" xfId="4" builtinId="8"/>
    <cellStyle name="Normal" xfId="0" builtinId="0"/>
    <cellStyle name="Percent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1</xdr:row>
      <xdr:rowOff>137160</xdr:rowOff>
    </xdr:from>
    <xdr:to>
      <xdr:col>8</xdr:col>
      <xdr:colOff>588269</xdr:colOff>
      <xdr:row>7</xdr:row>
      <xdr:rowOff>3050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4937C9-B51E-46FF-A030-D8E9B6A1F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20040"/>
          <a:ext cx="2340869" cy="963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182880</xdr:colOff>
      <xdr:row>4</xdr:row>
      <xdr:rowOff>7620</xdr:rowOff>
    </xdr:from>
    <xdr:to>
      <xdr:col>12</xdr:col>
      <xdr:colOff>815340</xdr:colOff>
      <xdr:row>15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5577A4E-923A-4B7C-81B1-BA1BC9B8B7C5}"/>
            </a:ext>
          </a:extLst>
        </xdr:cNvPr>
        <xdr:cNvSpPr txBox="1"/>
      </xdr:nvSpPr>
      <xdr:spPr>
        <a:xfrm>
          <a:off x="9319260" y="739140"/>
          <a:ext cx="3078480" cy="217932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solidFill>
                <a:schemeClr val="bg1"/>
              </a:solidFill>
            </a:rPr>
            <a:t>Valores fictícios</a:t>
          </a:r>
        </a:p>
        <a:p>
          <a:pPr algn="ctr"/>
          <a:r>
            <a:rPr lang="pt-BR" sz="2000" b="1">
              <a:solidFill>
                <a:schemeClr val="bg1"/>
              </a:solidFill>
            </a:rPr>
            <a:t>Apenas para simulação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10</xdr:col>
      <xdr:colOff>30480</xdr:colOff>
      <xdr:row>15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3DBDB3-E6A3-4DE7-BFC2-EA46643E6554}"/>
            </a:ext>
          </a:extLst>
        </xdr:cNvPr>
        <xdr:cNvSpPr txBox="1"/>
      </xdr:nvSpPr>
      <xdr:spPr>
        <a:xfrm>
          <a:off x="4206240" y="731520"/>
          <a:ext cx="3078480" cy="217932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solidFill>
                <a:schemeClr val="bg1"/>
              </a:solidFill>
            </a:rPr>
            <a:t>Valores fictícios</a:t>
          </a:r>
        </a:p>
        <a:p>
          <a:pPr algn="ctr"/>
          <a:r>
            <a:rPr lang="pt-BR" sz="2000" b="1">
              <a:solidFill>
                <a:schemeClr val="bg1"/>
              </a:solidFill>
            </a:rPr>
            <a:t>Apenas para simulação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220980</xdr:colOff>
      <xdr:row>4</xdr:row>
      <xdr:rowOff>0</xdr:rowOff>
    </xdr:from>
    <xdr:to>
      <xdr:col>11</xdr:col>
      <xdr:colOff>175260</xdr:colOff>
      <xdr:row>14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7F519F-B219-4C20-84C4-2BB8704DEE2D}"/>
            </a:ext>
          </a:extLst>
        </xdr:cNvPr>
        <xdr:cNvSpPr txBox="1"/>
      </xdr:nvSpPr>
      <xdr:spPr>
        <a:xfrm>
          <a:off x="8435340" y="731520"/>
          <a:ext cx="3078480" cy="217932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solidFill>
                <a:schemeClr val="bg1"/>
              </a:solidFill>
            </a:rPr>
            <a:t>Valores fictícios</a:t>
          </a:r>
        </a:p>
        <a:p>
          <a:pPr algn="ctr"/>
          <a:r>
            <a:rPr lang="pt-BR" sz="2000" b="1">
              <a:solidFill>
                <a:schemeClr val="bg1"/>
              </a:solidFill>
            </a:rPr>
            <a:t>Apenas para simulação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167640</xdr:colOff>
      <xdr:row>6</xdr:row>
      <xdr:rowOff>175260</xdr:rowOff>
    </xdr:from>
    <xdr:to>
      <xdr:col>15</xdr:col>
      <xdr:colOff>121920</xdr:colOff>
      <xdr:row>17</xdr:row>
      <xdr:rowOff>144780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F84DC1-EE22-4FCA-B846-412436BEF8DC}"/>
            </a:ext>
          </a:extLst>
        </xdr:cNvPr>
        <xdr:cNvSpPr txBox="1"/>
      </xdr:nvSpPr>
      <xdr:spPr>
        <a:xfrm>
          <a:off x="9144000" y="1272540"/>
          <a:ext cx="3078480" cy="217932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solidFill>
                <a:schemeClr val="bg1"/>
              </a:solidFill>
            </a:rPr>
            <a:t>Valores fictícios</a:t>
          </a:r>
        </a:p>
        <a:p>
          <a:pPr algn="ctr"/>
          <a:r>
            <a:rPr lang="pt-BR" sz="2000" b="1">
              <a:solidFill>
                <a:schemeClr val="bg1"/>
              </a:solidFill>
            </a:rPr>
            <a:t>Apenas para simulação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198120</xdr:colOff>
      <xdr:row>4</xdr:row>
      <xdr:rowOff>0</xdr:rowOff>
    </xdr:from>
    <xdr:to>
      <xdr:col>7</xdr:col>
      <xdr:colOff>533400</xdr:colOff>
      <xdr:row>15</xdr:row>
      <xdr:rowOff>167640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F3355E-CEE3-4A07-916D-913EA495A7A3}"/>
            </a:ext>
          </a:extLst>
        </xdr:cNvPr>
        <xdr:cNvSpPr txBox="1"/>
      </xdr:nvSpPr>
      <xdr:spPr>
        <a:xfrm>
          <a:off x="4617720" y="731520"/>
          <a:ext cx="3078480" cy="217932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solidFill>
                <a:schemeClr val="bg1"/>
              </a:solidFill>
            </a:rPr>
            <a:t>Valores fictícios</a:t>
          </a:r>
        </a:p>
        <a:p>
          <a:pPr algn="ctr"/>
          <a:r>
            <a:rPr lang="pt-BR" sz="2000" b="1">
              <a:solidFill>
                <a:schemeClr val="bg1"/>
              </a:solidFill>
            </a:rPr>
            <a:t>Apenas para simulação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259080</xdr:colOff>
      <xdr:row>4</xdr:row>
      <xdr:rowOff>175260</xdr:rowOff>
    </xdr:from>
    <xdr:to>
      <xdr:col>10</xdr:col>
      <xdr:colOff>396240</xdr:colOff>
      <xdr:row>16</xdr:row>
      <xdr:rowOff>160020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4178775-5236-4FE1-9602-E80BEA2AFACA}"/>
            </a:ext>
          </a:extLst>
        </xdr:cNvPr>
        <xdr:cNvSpPr txBox="1"/>
      </xdr:nvSpPr>
      <xdr:spPr>
        <a:xfrm>
          <a:off x="6385560" y="906780"/>
          <a:ext cx="3078480" cy="217932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solidFill>
                <a:schemeClr val="bg1"/>
              </a:solidFill>
            </a:rPr>
            <a:t>Valores fictícios</a:t>
          </a:r>
        </a:p>
        <a:p>
          <a:pPr algn="ctr"/>
          <a:r>
            <a:rPr lang="pt-BR" sz="2000" b="1">
              <a:solidFill>
                <a:schemeClr val="bg1"/>
              </a:solidFill>
            </a:rPr>
            <a:t>Apenas para simulação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205740</xdr:colOff>
      <xdr:row>4</xdr:row>
      <xdr:rowOff>0</xdr:rowOff>
    </xdr:from>
    <xdr:to>
      <xdr:col>8</xdr:col>
      <xdr:colOff>236220</xdr:colOff>
      <xdr:row>15</xdr:row>
      <xdr:rowOff>167640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C77CC0B-A9A6-406A-AF2C-DC4D080BD22A}"/>
            </a:ext>
          </a:extLst>
        </xdr:cNvPr>
        <xdr:cNvSpPr txBox="1"/>
      </xdr:nvSpPr>
      <xdr:spPr>
        <a:xfrm>
          <a:off x="4107180" y="731520"/>
          <a:ext cx="3078480" cy="217932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solidFill>
                <a:schemeClr val="bg1"/>
              </a:solidFill>
            </a:rPr>
            <a:t>Valores fictícios</a:t>
          </a:r>
        </a:p>
        <a:p>
          <a:pPr algn="ctr"/>
          <a:r>
            <a:rPr lang="pt-BR" sz="2000" b="1">
              <a:solidFill>
                <a:schemeClr val="bg1"/>
              </a:solidFill>
            </a:rPr>
            <a:t>Apenas para simulação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251460</xdr:colOff>
      <xdr:row>3</xdr:row>
      <xdr:rowOff>129540</xdr:rowOff>
    </xdr:from>
    <xdr:to>
      <xdr:col>8</xdr:col>
      <xdr:colOff>266700</xdr:colOff>
      <xdr:row>15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B6F17B-AC5D-45AE-B347-B9FE2C2FFBC6}"/>
            </a:ext>
          </a:extLst>
        </xdr:cNvPr>
        <xdr:cNvSpPr txBox="1"/>
      </xdr:nvSpPr>
      <xdr:spPr>
        <a:xfrm>
          <a:off x="6088380" y="678180"/>
          <a:ext cx="3078480" cy="217932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solidFill>
                <a:schemeClr val="bg1"/>
              </a:solidFill>
            </a:rPr>
            <a:t>Valores fictícios</a:t>
          </a:r>
        </a:p>
        <a:p>
          <a:pPr algn="ctr"/>
          <a:r>
            <a:rPr lang="pt-BR" sz="2000" b="1">
              <a:solidFill>
                <a:schemeClr val="bg1"/>
              </a:solidFill>
            </a:rPr>
            <a:t>Apenas para simulação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ecorienergiasolar/" TargetMode="External"/><Relationship Id="rId3" Type="http://schemas.openxmlformats.org/officeDocument/2006/relationships/hyperlink" Target="http://www.ecorionline.com.br/cadastro" TargetMode="External"/><Relationship Id="rId7" Type="http://schemas.openxmlformats.org/officeDocument/2006/relationships/hyperlink" Target="https://www.instagram.com/ecorienergiasolar/" TargetMode="External"/><Relationship Id="rId2" Type="http://schemas.openxmlformats.org/officeDocument/2006/relationships/hyperlink" Target="https://www.ecori.com.br/" TargetMode="External"/><Relationship Id="rId1" Type="http://schemas.openxmlformats.org/officeDocument/2006/relationships/hyperlink" Target="https://www.youtube.com/watch?v=9srPcGMhInw" TargetMode="External"/><Relationship Id="rId6" Type="http://schemas.openxmlformats.org/officeDocument/2006/relationships/hyperlink" Target="https://www.youtube.com/channel/UCCR8Gi692LOwRCcxJogeFZw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api.whatsapp.com/send?phone=551799271350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ecorionline.com.br/" TargetMode="External"/><Relationship Id="rId9" Type="http://schemas.openxmlformats.org/officeDocument/2006/relationships/hyperlink" Target="https://www.linkedin.com/company/1623048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57B75-DC96-4410-B2B1-20F529D71933}">
  <dimension ref="B10:L27"/>
  <sheetViews>
    <sheetView workbookViewId="0">
      <selection activeCell="Q15" sqref="Q15"/>
    </sheetView>
  </sheetViews>
  <sheetFormatPr defaultRowHeight="14.4" x14ac:dyDescent="0.3"/>
  <cols>
    <col min="1" max="1" width="4.77734375" style="4" customWidth="1"/>
    <col min="2" max="16384" width="8.88671875" style="4"/>
  </cols>
  <sheetData>
    <row r="10" spans="2:12" x14ac:dyDescent="0.3">
      <c r="B10" s="12" t="s">
        <v>174</v>
      </c>
    </row>
    <row r="11" spans="2:12" x14ac:dyDescent="0.3">
      <c r="B11" s="4" t="s">
        <v>183</v>
      </c>
    </row>
    <row r="12" spans="2:12" x14ac:dyDescent="0.3">
      <c r="B12" s="64" t="s">
        <v>175</v>
      </c>
    </row>
    <row r="14" spans="2:12" x14ac:dyDescent="0.3">
      <c r="B14" s="66" t="s">
        <v>176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5" spans="2:12" x14ac:dyDescent="0.3">
      <c r="B15" s="65" t="s">
        <v>177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</row>
    <row r="16" spans="2:12" x14ac:dyDescent="0.3">
      <c r="B16" s="65" t="s">
        <v>178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</row>
    <row r="17" spans="2:12" x14ac:dyDescent="0.3">
      <c r="B17" s="65" t="s">
        <v>179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</row>
    <row r="18" spans="2:12" x14ac:dyDescent="0.3">
      <c r="B18" s="65" t="s">
        <v>180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</row>
    <row r="19" spans="2:12" x14ac:dyDescent="0.3">
      <c r="B19" s="65" t="s">
        <v>181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</row>
    <row r="20" spans="2:12" x14ac:dyDescent="0.3">
      <c r="B20" s="65" t="s">
        <v>182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2" spans="2:12" x14ac:dyDescent="0.3">
      <c r="B22" s="4" t="s">
        <v>184</v>
      </c>
    </row>
    <row r="24" spans="2:12" x14ac:dyDescent="0.3">
      <c r="B24" s="67" t="s">
        <v>185</v>
      </c>
      <c r="C24" s="67"/>
      <c r="E24" s="68" t="s">
        <v>186</v>
      </c>
      <c r="F24" s="68"/>
      <c r="H24" s="68" t="s">
        <v>187</v>
      </c>
      <c r="I24" s="68"/>
      <c r="K24" s="68" t="s">
        <v>188</v>
      </c>
      <c r="L24" s="68"/>
    </row>
    <row r="25" spans="2:12" x14ac:dyDescent="0.3">
      <c r="B25" s="67"/>
      <c r="C25" s="67"/>
      <c r="E25" s="68"/>
      <c r="F25" s="68"/>
      <c r="H25" s="68"/>
      <c r="I25" s="68"/>
      <c r="K25" s="68"/>
      <c r="L25" s="68"/>
    </row>
    <row r="27" spans="2:12" x14ac:dyDescent="0.3">
      <c r="B27" s="69" t="s">
        <v>189</v>
      </c>
      <c r="C27" s="69"/>
      <c r="E27" s="69" t="s">
        <v>190</v>
      </c>
      <c r="F27" s="69"/>
      <c r="H27" s="69" t="s">
        <v>191</v>
      </c>
      <c r="I27" s="69"/>
      <c r="K27" s="69" t="s">
        <v>192</v>
      </c>
      <c r="L27" s="69"/>
    </row>
  </sheetData>
  <mergeCells count="8">
    <mergeCell ref="B24:C25"/>
    <mergeCell ref="E24:F25"/>
    <mergeCell ref="H24:I25"/>
    <mergeCell ref="K24:L25"/>
    <mergeCell ref="B27:C27"/>
    <mergeCell ref="E27:F27"/>
    <mergeCell ref="H27:I27"/>
    <mergeCell ref="K27:L27"/>
  </mergeCells>
  <hyperlinks>
    <hyperlink ref="B12" r:id="rId1" xr:uid="{254AFDD5-BB3E-40E2-A088-5B4214D0A9F8}"/>
    <hyperlink ref="B24:C25" r:id="rId2" display="Visite nosso site" xr:uid="{E8CFDE6F-3CBD-4FD4-9C6A-083C0E510BEC}"/>
    <hyperlink ref="E24:F25" r:id="rId3" display="Cadastre-se na plataforma EcoriOnline" xr:uid="{DC8C3079-9896-40CB-8D5F-3E7A74B1635A}"/>
    <hyperlink ref="H24:I25" r:id="rId4" display="Já tem cadastro? Clique para logar" xr:uid="{623666C4-2F39-446B-A2C4-8113C0AE8721}"/>
    <hyperlink ref="K24:L25" r:id="rId5" display="https://api.whatsapp.com/send?phone=5517992713501" xr:uid="{2FB24769-8FA5-4407-8E14-88C4817930DE}"/>
    <hyperlink ref="B27:C27" r:id="rId6" display="Youtube" xr:uid="{595C1801-6499-46D4-A2BF-4BD548BBDD9B}"/>
    <hyperlink ref="E27:F27" r:id="rId7" display="Instagram" xr:uid="{08D05005-EBB1-4619-A763-847C533CD7F3}"/>
    <hyperlink ref="H27:I27" r:id="rId8" display="Facebook" xr:uid="{C7A7B969-80F8-4993-9AAA-59EF26E60185}"/>
    <hyperlink ref="K27:L27" r:id="rId9" display="Linkedin" xr:uid="{2AF91AB7-94BF-4B77-B284-2800F1959CCB}"/>
  </hyperlinks>
  <pageMargins left="0.7" right="0.7" top="0.75" bottom="0.75" header="0.3" footer="0.3"/>
  <pageSetup paperSize="9" orientation="portrait" horizontalDpi="1200" verticalDpi="1200" r:id="rId10"/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9"/>
  <sheetViews>
    <sheetView workbookViewId="0"/>
  </sheetViews>
  <sheetFormatPr defaultRowHeight="14.4" x14ac:dyDescent="0.3"/>
  <cols>
    <col min="1" max="1" width="23.33203125" bestFit="1" customWidth="1"/>
    <col min="2" max="5" width="13.33203125" bestFit="1" customWidth="1"/>
  </cols>
  <sheetData>
    <row r="1" spans="1:5" x14ac:dyDescent="0.3">
      <c r="A1" s="1"/>
      <c r="B1" s="1"/>
      <c r="C1" s="1"/>
      <c r="D1" s="1"/>
      <c r="E1" s="1"/>
    </row>
    <row r="2" spans="1:5" x14ac:dyDescent="0.3">
      <c r="A2" s="1"/>
      <c r="B2" s="2"/>
      <c r="C2" s="2"/>
      <c r="D2" s="2"/>
      <c r="E2" s="2"/>
    </row>
    <row r="3" spans="1:5" x14ac:dyDescent="0.3">
      <c r="A3" s="1"/>
      <c r="B3" s="2"/>
      <c r="C3" s="2"/>
      <c r="D3" s="2"/>
      <c r="E3" s="2"/>
    </row>
    <row r="4" spans="1:5" x14ac:dyDescent="0.3">
      <c r="A4" s="1"/>
      <c r="B4" s="2"/>
      <c r="C4" s="2"/>
      <c r="D4" s="2"/>
      <c r="E4" s="2"/>
    </row>
    <row r="5" spans="1:5" x14ac:dyDescent="0.3">
      <c r="A5" s="1"/>
      <c r="B5" s="1"/>
      <c r="C5" s="1"/>
      <c r="D5" s="1"/>
      <c r="E5" s="1"/>
    </row>
    <row r="6" spans="1:5" x14ac:dyDescent="0.3">
      <c r="A6" s="1"/>
      <c r="B6" s="2"/>
      <c r="C6" s="2"/>
      <c r="D6" s="2"/>
      <c r="E6" s="2"/>
    </row>
    <row r="7" spans="1:5" x14ac:dyDescent="0.3">
      <c r="A7" s="1"/>
      <c r="B7" s="2"/>
      <c r="C7" s="2"/>
      <c r="D7" s="2"/>
      <c r="E7" s="2"/>
    </row>
    <row r="8" spans="1:5" x14ac:dyDescent="0.3">
      <c r="A8" s="1"/>
      <c r="B8" s="2"/>
      <c r="C8" s="2"/>
      <c r="D8" s="2"/>
      <c r="E8" s="2"/>
    </row>
    <row r="9" spans="1:5" x14ac:dyDescent="0.3">
      <c r="A9" s="1"/>
      <c r="B9" s="2"/>
      <c r="C9" s="2"/>
      <c r="D9" s="2"/>
      <c r="E9" s="2"/>
    </row>
    <row r="10" spans="1:5" x14ac:dyDescent="0.3">
      <c r="A10" s="1"/>
      <c r="B10" s="1"/>
      <c r="C10" s="1"/>
      <c r="D10" s="1"/>
      <c r="E10" s="1"/>
    </row>
    <row r="11" spans="1:5" x14ac:dyDescent="0.3">
      <c r="A11" s="1"/>
      <c r="B11" s="3"/>
      <c r="C11" s="3"/>
      <c r="D11" s="3"/>
      <c r="E11" s="3"/>
    </row>
    <row r="12" spans="1:5" x14ac:dyDescent="0.3">
      <c r="A12" s="1"/>
      <c r="B12" s="1"/>
      <c r="C12" s="1"/>
      <c r="D12" s="1"/>
      <c r="E12" s="1"/>
    </row>
    <row r="13" spans="1:5" x14ac:dyDescent="0.3">
      <c r="A13" s="1"/>
      <c r="B13" s="2"/>
      <c r="C13" s="2"/>
      <c r="D13" s="2"/>
      <c r="E13" s="2"/>
    </row>
    <row r="14" spans="1:5" x14ac:dyDescent="0.3">
      <c r="A14" s="1"/>
      <c r="B14" s="2"/>
      <c r="C14" s="2"/>
      <c r="D14" s="2"/>
      <c r="E14" s="2"/>
    </row>
    <row r="16" spans="1:5" x14ac:dyDescent="0.3">
      <c r="A16" s="1" t="s">
        <v>26</v>
      </c>
      <c r="B16" s="1">
        <v>5</v>
      </c>
      <c r="C16" s="1">
        <v>6</v>
      </c>
    </row>
    <row r="17" spans="1:3" x14ac:dyDescent="0.3">
      <c r="A17" s="1" t="s">
        <v>35</v>
      </c>
      <c r="B17" s="2">
        <v>61291.4</v>
      </c>
      <c r="C17" s="2">
        <v>61291.4</v>
      </c>
    </row>
    <row r="18" spans="1:3" x14ac:dyDescent="0.3">
      <c r="A18" s="1" t="s">
        <v>33</v>
      </c>
      <c r="B18" s="2">
        <v>24516.560000000001</v>
      </c>
      <c r="C18" s="2">
        <v>24516.560000000001</v>
      </c>
    </row>
    <row r="19" spans="1:3" x14ac:dyDescent="0.3">
      <c r="A19" s="1" t="s">
        <v>34</v>
      </c>
      <c r="B19" s="2">
        <v>35303.846399999995</v>
      </c>
      <c r="C19" s="2">
        <v>35303.846399999995</v>
      </c>
    </row>
    <row r="20" spans="1:3" x14ac:dyDescent="0.3">
      <c r="A20" s="1"/>
      <c r="B20" s="2"/>
      <c r="C20" s="2"/>
    </row>
    <row r="21" spans="1:3" x14ac:dyDescent="0.3">
      <c r="A21" s="1" t="s">
        <v>28</v>
      </c>
      <c r="B21" s="2">
        <v>19758.899999999998</v>
      </c>
      <c r="C21" s="2">
        <v>19758.899999999998</v>
      </c>
    </row>
    <row r="22" spans="1:3" x14ac:dyDescent="0.3">
      <c r="A22" s="1" t="s">
        <v>27</v>
      </c>
      <c r="B22" s="2">
        <v>23415.831908333334</v>
      </c>
      <c r="C22" s="2">
        <v>23415.831908333334</v>
      </c>
    </row>
    <row r="23" spans="1:3" x14ac:dyDescent="0.3">
      <c r="A23" s="1" t="s">
        <v>29</v>
      </c>
      <c r="B23" s="2">
        <v>4658.1463999999996</v>
      </c>
      <c r="C23" s="2">
        <v>4658.1463999999996</v>
      </c>
    </row>
    <row r="24" spans="1:3" x14ac:dyDescent="0.3">
      <c r="A24" s="1" t="s">
        <v>2</v>
      </c>
      <c r="B24" s="2">
        <v>47832.878308333326</v>
      </c>
      <c r="C24" s="2">
        <v>47832.878308333326</v>
      </c>
    </row>
    <row r="25" spans="1:3" x14ac:dyDescent="0.3">
      <c r="A25" s="1"/>
      <c r="B25" s="1"/>
      <c r="C25" s="1"/>
    </row>
    <row r="26" spans="1:3" x14ac:dyDescent="0.3">
      <c r="A26" s="1" t="s">
        <v>30</v>
      </c>
      <c r="B26" s="3">
        <v>2149.4509618213865</v>
      </c>
      <c r="C26" s="3">
        <v>2149.4509618213865</v>
      </c>
    </row>
    <row r="27" spans="1:3" x14ac:dyDescent="0.3">
      <c r="A27" s="1"/>
      <c r="B27" s="1"/>
      <c r="C27" s="1"/>
    </row>
    <row r="28" spans="1:3" x14ac:dyDescent="0.3">
      <c r="A28" s="1" t="s">
        <v>31</v>
      </c>
      <c r="B28" s="2">
        <v>9838.0771298452801</v>
      </c>
      <c r="C28" s="2">
        <v>9838.0771298452801</v>
      </c>
    </row>
    <row r="29" spans="1:3" x14ac:dyDescent="0.3">
      <c r="A29" s="1" t="s">
        <v>32</v>
      </c>
      <c r="B29" s="2">
        <v>-6113.4607507735818</v>
      </c>
      <c r="C29" s="2">
        <v>3724.6163790716982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5"/>
  <sheetViews>
    <sheetView zoomScaleNormal="100" workbookViewId="0">
      <selection activeCell="A4" sqref="A4"/>
    </sheetView>
  </sheetViews>
  <sheetFormatPr defaultRowHeight="14.4" x14ac:dyDescent="0.3"/>
  <cols>
    <col min="1" max="1" width="3.109375" style="4" customWidth="1"/>
    <col min="2" max="2" width="5.109375" style="4" bestFit="1" customWidth="1"/>
    <col min="3" max="3" width="50.88671875" style="4" customWidth="1"/>
    <col min="4" max="4" width="12.5546875" style="4" bestFit="1" customWidth="1"/>
    <col min="5" max="5" width="23.6640625" style="4" bestFit="1" customWidth="1"/>
    <col min="6" max="6" width="14.5546875" style="4" bestFit="1" customWidth="1"/>
    <col min="7" max="7" width="9.109375" style="4" bestFit="1" customWidth="1"/>
    <col min="8" max="8" width="16.88671875" style="4" customWidth="1"/>
    <col min="9" max="9" width="9.5546875" style="4" bestFit="1" customWidth="1"/>
    <col min="10" max="10" width="3.44140625" style="4" customWidth="1"/>
    <col min="11" max="11" width="10.5546875" style="4" bestFit="1" customWidth="1"/>
    <col min="12" max="12" width="12.109375" style="4" bestFit="1" customWidth="1"/>
    <col min="13" max="13" width="13.33203125" style="4" bestFit="1" customWidth="1"/>
    <col min="14" max="16384" width="8.88671875" style="4"/>
  </cols>
  <sheetData>
    <row r="1" spans="2:8" s="13" customFormat="1" x14ac:dyDescent="0.3">
      <c r="B1" s="13" t="s">
        <v>140</v>
      </c>
    </row>
    <row r="2" spans="2:8" s="13" customFormat="1" x14ac:dyDescent="0.3">
      <c r="B2" s="13" t="s">
        <v>141</v>
      </c>
    </row>
    <row r="3" spans="2:8" s="13" customFormat="1" x14ac:dyDescent="0.3"/>
    <row r="4" spans="2:8" x14ac:dyDescent="0.3">
      <c r="E4" s="5" t="s">
        <v>36</v>
      </c>
      <c r="F4" s="5"/>
      <c r="G4" s="5"/>
      <c r="H4" s="6">
        <v>2.1</v>
      </c>
    </row>
    <row r="5" spans="2:8" x14ac:dyDescent="0.3">
      <c r="B5" s="10" t="s">
        <v>37</v>
      </c>
      <c r="C5" s="10" t="s">
        <v>3</v>
      </c>
      <c r="D5" s="10" t="s">
        <v>38</v>
      </c>
      <c r="E5" s="11" t="s">
        <v>170</v>
      </c>
      <c r="F5" s="11" t="s">
        <v>171</v>
      </c>
      <c r="G5" s="11" t="s">
        <v>124</v>
      </c>
      <c r="H5" s="10" t="s">
        <v>39</v>
      </c>
    </row>
    <row r="6" spans="2:8" x14ac:dyDescent="0.3">
      <c r="B6" s="10">
        <v>1</v>
      </c>
      <c r="C6" s="7" t="s">
        <v>142</v>
      </c>
      <c r="D6" s="7" t="s">
        <v>158</v>
      </c>
      <c r="E6" s="8">
        <v>4000</v>
      </c>
      <c r="F6" s="8">
        <f>4*150</f>
        <v>600</v>
      </c>
      <c r="G6" s="9">
        <v>0.35</v>
      </c>
      <c r="H6" s="8">
        <f>((G6*E6)+E6)+F6</f>
        <v>6000</v>
      </c>
    </row>
    <row r="7" spans="2:8" x14ac:dyDescent="0.3">
      <c r="B7" s="10">
        <v>2</v>
      </c>
      <c r="C7" s="7" t="s">
        <v>143</v>
      </c>
      <c r="D7" s="7" t="s">
        <v>158</v>
      </c>
      <c r="E7" s="8">
        <f>4000*2</f>
        <v>8000</v>
      </c>
      <c r="F7" s="8">
        <f>6*150</f>
        <v>900</v>
      </c>
      <c r="G7" s="9">
        <v>0.35</v>
      </c>
      <c r="H7" s="8">
        <f t="shared" ref="H7:H25" si="0">((G7*E7)+E7)+F7</f>
        <v>11700</v>
      </c>
    </row>
    <row r="8" spans="2:8" x14ac:dyDescent="0.3">
      <c r="B8" s="10">
        <v>3</v>
      </c>
      <c r="C8" s="7" t="s">
        <v>144</v>
      </c>
      <c r="D8" s="7" t="s">
        <v>158</v>
      </c>
      <c r="E8" s="8">
        <f>4000*3</f>
        <v>12000</v>
      </c>
      <c r="F8" s="8">
        <f>12*150</f>
        <v>1800</v>
      </c>
      <c r="G8" s="9">
        <v>0.35</v>
      </c>
      <c r="H8" s="8">
        <f t="shared" si="0"/>
        <v>18000</v>
      </c>
    </row>
    <row r="9" spans="2:8" x14ac:dyDescent="0.3">
      <c r="B9" s="10">
        <v>4</v>
      </c>
      <c r="C9" s="7" t="s">
        <v>145</v>
      </c>
      <c r="D9" s="7" t="s">
        <v>158</v>
      </c>
      <c r="E9" s="8">
        <f>4000*4</f>
        <v>16000</v>
      </c>
      <c r="F9" s="8">
        <f>16*150</f>
        <v>2400</v>
      </c>
      <c r="G9" s="9">
        <v>0.35</v>
      </c>
      <c r="H9" s="8">
        <f t="shared" si="0"/>
        <v>24000</v>
      </c>
    </row>
    <row r="10" spans="2:8" x14ac:dyDescent="0.3">
      <c r="B10" s="10">
        <v>5</v>
      </c>
      <c r="C10" s="7" t="s">
        <v>146</v>
      </c>
      <c r="D10" s="7" t="s">
        <v>158</v>
      </c>
      <c r="E10" s="8">
        <f>4000*5</f>
        <v>20000</v>
      </c>
      <c r="F10" s="8">
        <f>20*150</f>
        <v>3000</v>
      </c>
      <c r="G10" s="9">
        <v>0.3</v>
      </c>
      <c r="H10" s="8">
        <f t="shared" si="0"/>
        <v>29000</v>
      </c>
    </row>
    <row r="11" spans="2:8" x14ac:dyDescent="0.3">
      <c r="B11" s="10">
        <v>6</v>
      </c>
      <c r="C11" s="7" t="s">
        <v>147</v>
      </c>
      <c r="D11" s="7" t="s">
        <v>158</v>
      </c>
      <c r="E11" s="8">
        <f>4000*10</f>
        <v>40000</v>
      </c>
      <c r="F11" s="8">
        <f>30*120</f>
        <v>3600</v>
      </c>
      <c r="G11" s="9">
        <v>0.3</v>
      </c>
      <c r="H11" s="8">
        <f t="shared" si="0"/>
        <v>55600</v>
      </c>
    </row>
    <row r="12" spans="2:8" x14ac:dyDescent="0.3">
      <c r="B12" s="10">
        <v>7</v>
      </c>
      <c r="C12" s="7" t="s">
        <v>148</v>
      </c>
      <c r="D12" s="7" t="s">
        <v>158</v>
      </c>
      <c r="E12" s="8">
        <f>4000*15</f>
        <v>60000</v>
      </c>
      <c r="F12" s="8">
        <f>45*120</f>
        <v>5400</v>
      </c>
      <c r="G12" s="9">
        <v>0.3</v>
      </c>
      <c r="H12" s="8">
        <f t="shared" si="0"/>
        <v>83400</v>
      </c>
    </row>
    <row r="13" spans="2:8" x14ac:dyDescent="0.3">
      <c r="B13" s="10">
        <v>8</v>
      </c>
      <c r="C13" s="7" t="s">
        <v>149</v>
      </c>
      <c r="D13" s="7" t="s">
        <v>158</v>
      </c>
      <c r="E13" s="8">
        <f>4000*20</f>
        <v>80000</v>
      </c>
      <c r="F13" s="8">
        <f>60*120</f>
        <v>7200</v>
      </c>
      <c r="G13" s="9">
        <v>0.3</v>
      </c>
      <c r="H13" s="8">
        <f t="shared" si="0"/>
        <v>111200</v>
      </c>
    </row>
    <row r="14" spans="2:8" x14ac:dyDescent="0.3">
      <c r="B14" s="10">
        <v>9</v>
      </c>
      <c r="C14" s="7" t="s">
        <v>150</v>
      </c>
      <c r="D14" s="7" t="s">
        <v>158</v>
      </c>
      <c r="E14" s="8">
        <f>4000*30</f>
        <v>120000</v>
      </c>
      <c r="F14" s="8">
        <f>75*120</f>
        <v>9000</v>
      </c>
      <c r="G14" s="9">
        <v>0.3</v>
      </c>
      <c r="H14" s="8">
        <f t="shared" si="0"/>
        <v>165000</v>
      </c>
    </row>
    <row r="15" spans="2:8" x14ac:dyDescent="0.3">
      <c r="B15" s="10">
        <v>10</v>
      </c>
      <c r="C15" s="7" t="s">
        <v>151</v>
      </c>
      <c r="D15" s="7" t="s">
        <v>158</v>
      </c>
      <c r="E15" s="8">
        <f>4000*40</f>
        <v>160000</v>
      </c>
      <c r="F15" s="8">
        <f>90*120</f>
        <v>10800</v>
      </c>
      <c r="G15" s="9">
        <v>0.3</v>
      </c>
      <c r="H15" s="8">
        <f t="shared" si="0"/>
        <v>218800</v>
      </c>
    </row>
    <row r="16" spans="2:8" x14ac:dyDescent="0.3">
      <c r="B16" s="10">
        <v>11</v>
      </c>
      <c r="C16" s="7" t="s">
        <v>152</v>
      </c>
      <c r="D16" s="7" t="s">
        <v>158</v>
      </c>
      <c r="E16" s="8">
        <f>4000*50</f>
        <v>200000</v>
      </c>
      <c r="F16" s="8">
        <f>105*120</f>
        <v>12600</v>
      </c>
      <c r="G16" s="9">
        <v>0.25</v>
      </c>
      <c r="H16" s="8">
        <f t="shared" si="0"/>
        <v>262600</v>
      </c>
    </row>
    <row r="17" spans="2:8" x14ac:dyDescent="0.3">
      <c r="B17" s="10">
        <v>12</v>
      </c>
      <c r="C17" s="7" t="s">
        <v>153</v>
      </c>
      <c r="D17" s="7" t="s">
        <v>158</v>
      </c>
      <c r="E17" s="8">
        <f>4000*100</f>
        <v>400000</v>
      </c>
      <c r="F17" s="8">
        <f>300*100</f>
        <v>30000</v>
      </c>
      <c r="G17" s="9">
        <v>0.2</v>
      </c>
      <c r="H17" s="8">
        <f t="shared" si="0"/>
        <v>510000</v>
      </c>
    </row>
    <row r="18" spans="2:8" x14ac:dyDescent="0.3">
      <c r="B18" s="10">
        <v>13</v>
      </c>
      <c r="C18" s="7" t="s">
        <v>154</v>
      </c>
      <c r="D18" s="7" t="s">
        <v>158</v>
      </c>
      <c r="E18" s="8">
        <f>4000*200</f>
        <v>800000</v>
      </c>
      <c r="F18" s="8">
        <f>600*100</f>
        <v>60000</v>
      </c>
      <c r="G18" s="9">
        <v>0.2</v>
      </c>
      <c r="H18" s="8">
        <f t="shared" si="0"/>
        <v>1020000</v>
      </c>
    </row>
    <row r="19" spans="2:8" x14ac:dyDescent="0.3">
      <c r="B19" s="10">
        <v>14</v>
      </c>
      <c r="C19" s="7" t="s">
        <v>155</v>
      </c>
      <c r="D19" s="7" t="s">
        <v>158</v>
      </c>
      <c r="E19" s="8">
        <f>4000*300</f>
        <v>1200000</v>
      </c>
      <c r="F19" s="8">
        <f>900*90</f>
        <v>81000</v>
      </c>
      <c r="G19" s="9">
        <v>0.2</v>
      </c>
      <c r="H19" s="8">
        <f t="shared" si="0"/>
        <v>1521000</v>
      </c>
    </row>
    <row r="20" spans="2:8" x14ac:dyDescent="0.3">
      <c r="B20" s="10">
        <v>15</v>
      </c>
      <c r="C20" s="7" t="s">
        <v>156</v>
      </c>
      <c r="D20" s="7" t="s">
        <v>158</v>
      </c>
      <c r="E20" s="8">
        <f>4000*400</f>
        <v>1600000</v>
      </c>
      <c r="F20" s="8">
        <f>1200*80</f>
        <v>96000</v>
      </c>
      <c r="G20" s="9">
        <v>0.2</v>
      </c>
      <c r="H20" s="8">
        <f t="shared" si="0"/>
        <v>2016000</v>
      </c>
    </row>
    <row r="21" spans="2:8" x14ac:dyDescent="0.3">
      <c r="B21" s="10">
        <v>16</v>
      </c>
      <c r="C21" s="7" t="s">
        <v>157</v>
      </c>
      <c r="D21" s="7" t="s">
        <v>158</v>
      </c>
      <c r="E21" s="8">
        <f>4000*500</f>
        <v>2000000</v>
      </c>
      <c r="F21" s="8">
        <f>1500*70</f>
        <v>105000</v>
      </c>
      <c r="G21" s="9">
        <v>0.15</v>
      </c>
      <c r="H21" s="8">
        <f t="shared" si="0"/>
        <v>2405000</v>
      </c>
    </row>
    <row r="22" spans="2:8" x14ac:dyDescent="0.3">
      <c r="B22" s="10">
        <v>17</v>
      </c>
      <c r="C22" s="7" t="s">
        <v>159</v>
      </c>
      <c r="D22" s="7" t="s">
        <v>160</v>
      </c>
      <c r="E22" s="8">
        <v>50</v>
      </c>
      <c r="F22" s="8">
        <v>200</v>
      </c>
      <c r="G22" s="9">
        <v>0.5</v>
      </c>
      <c r="H22" s="8">
        <f t="shared" si="0"/>
        <v>275</v>
      </c>
    </row>
    <row r="23" spans="2:8" x14ac:dyDescent="0.3">
      <c r="B23" s="10">
        <v>18</v>
      </c>
      <c r="C23" s="7" t="s">
        <v>161</v>
      </c>
      <c r="D23" s="7" t="s">
        <v>160</v>
      </c>
      <c r="E23" s="8">
        <v>0</v>
      </c>
      <c r="F23" s="8">
        <v>1000</v>
      </c>
      <c r="G23" s="9">
        <v>0.5</v>
      </c>
      <c r="H23" s="8">
        <f t="shared" si="0"/>
        <v>1000</v>
      </c>
    </row>
    <row r="24" spans="2:8" x14ac:dyDescent="0.3">
      <c r="B24" s="10">
        <v>19</v>
      </c>
      <c r="C24" s="7" t="s">
        <v>162</v>
      </c>
      <c r="D24" s="7" t="s">
        <v>160</v>
      </c>
      <c r="E24" s="8">
        <v>0</v>
      </c>
      <c r="F24" s="8">
        <v>3000</v>
      </c>
      <c r="G24" s="9">
        <v>0.5</v>
      </c>
      <c r="H24" s="8">
        <f t="shared" si="0"/>
        <v>3000</v>
      </c>
    </row>
    <row r="25" spans="2:8" x14ac:dyDescent="0.3">
      <c r="B25" s="10">
        <v>20</v>
      </c>
      <c r="C25" s="7" t="s">
        <v>163</v>
      </c>
      <c r="D25" s="7" t="s">
        <v>160</v>
      </c>
      <c r="E25" s="8">
        <v>0</v>
      </c>
      <c r="F25" s="8">
        <v>5000</v>
      </c>
      <c r="G25" s="9">
        <v>0.5</v>
      </c>
      <c r="H25" s="8">
        <f t="shared" si="0"/>
        <v>5000</v>
      </c>
    </row>
    <row r="26" spans="2:8" hidden="1" x14ac:dyDescent="0.3">
      <c r="B26" s="10">
        <v>21</v>
      </c>
      <c r="C26" s="7" t="str">
        <f t="shared" ref="C26:C55" si="1">CONCATENATE("Produto / Serviço ",B26)</f>
        <v>Produto / Serviço 21</v>
      </c>
      <c r="D26" s="7" t="s">
        <v>123</v>
      </c>
      <c r="E26" s="8">
        <v>0</v>
      </c>
      <c r="F26" s="8"/>
      <c r="G26" s="9">
        <v>0</v>
      </c>
      <c r="H26" s="8">
        <f t="shared" ref="H26:H55" si="2">(G26*E26)+E26</f>
        <v>0</v>
      </c>
    </row>
    <row r="27" spans="2:8" hidden="1" x14ac:dyDescent="0.3">
      <c r="B27" s="10">
        <v>22</v>
      </c>
      <c r="C27" s="7" t="str">
        <f t="shared" si="1"/>
        <v>Produto / Serviço 22</v>
      </c>
      <c r="D27" s="7" t="s">
        <v>122</v>
      </c>
      <c r="E27" s="8">
        <v>0</v>
      </c>
      <c r="F27" s="8"/>
      <c r="G27" s="9">
        <v>0</v>
      </c>
      <c r="H27" s="8">
        <f t="shared" si="2"/>
        <v>0</v>
      </c>
    </row>
    <row r="28" spans="2:8" hidden="1" x14ac:dyDescent="0.3">
      <c r="B28" s="10">
        <v>23</v>
      </c>
      <c r="C28" s="7" t="str">
        <f t="shared" si="1"/>
        <v>Produto / Serviço 23</v>
      </c>
      <c r="D28" s="7" t="s">
        <v>121</v>
      </c>
      <c r="E28" s="8">
        <v>0</v>
      </c>
      <c r="F28" s="8"/>
      <c r="G28" s="9">
        <v>0</v>
      </c>
      <c r="H28" s="8">
        <f t="shared" si="2"/>
        <v>0</v>
      </c>
    </row>
    <row r="29" spans="2:8" hidden="1" x14ac:dyDescent="0.3">
      <c r="B29" s="10">
        <v>24</v>
      </c>
      <c r="C29" s="7" t="str">
        <f t="shared" si="1"/>
        <v>Produto / Serviço 24</v>
      </c>
      <c r="D29" s="7" t="s">
        <v>122</v>
      </c>
      <c r="E29" s="8">
        <v>0</v>
      </c>
      <c r="F29" s="8"/>
      <c r="G29" s="9">
        <v>0</v>
      </c>
      <c r="H29" s="8">
        <f t="shared" si="2"/>
        <v>0</v>
      </c>
    </row>
    <row r="30" spans="2:8" hidden="1" x14ac:dyDescent="0.3">
      <c r="B30" s="10">
        <v>25</v>
      </c>
      <c r="C30" s="7" t="str">
        <f t="shared" si="1"/>
        <v>Produto / Serviço 25</v>
      </c>
      <c r="D30" s="7" t="s">
        <v>123</v>
      </c>
      <c r="E30" s="8">
        <v>0</v>
      </c>
      <c r="F30" s="8"/>
      <c r="G30" s="9">
        <v>0</v>
      </c>
      <c r="H30" s="8">
        <f t="shared" si="2"/>
        <v>0</v>
      </c>
    </row>
    <row r="31" spans="2:8" hidden="1" x14ac:dyDescent="0.3">
      <c r="B31" s="10">
        <v>26</v>
      </c>
      <c r="C31" s="7" t="str">
        <f t="shared" si="1"/>
        <v>Produto / Serviço 26</v>
      </c>
      <c r="D31" s="7" t="s">
        <v>123</v>
      </c>
      <c r="E31" s="8">
        <v>0</v>
      </c>
      <c r="F31" s="8"/>
      <c r="G31" s="9">
        <v>0</v>
      </c>
      <c r="H31" s="8">
        <f t="shared" si="2"/>
        <v>0</v>
      </c>
    </row>
    <row r="32" spans="2:8" hidden="1" x14ac:dyDescent="0.3">
      <c r="B32" s="10">
        <v>27</v>
      </c>
      <c r="C32" s="7" t="str">
        <f t="shared" si="1"/>
        <v>Produto / Serviço 27</v>
      </c>
      <c r="D32" s="7" t="s">
        <v>121</v>
      </c>
      <c r="E32" s="8">
        <v>0</v>
      </c>
      <c r="F32" s="8"/>
      <c r="G32" s="9">
        <v>0</v>
      </c>
      <c r="H32" s="8">
        <f t="shared" si="2"/>
        <v>0</v>
      </c>
    </row>
    <row r="33" spans="2:8" hidden="1" x14ac:dyDescent="0.3">
      <c r="B33" s="10">
        <v>28</v>
      </c>
      <c r="C33" s="7" t="str">
        <f t="shared" si="1"/>
        <v>Produto / Serviço 28</v>
      </c>
      <c r="D33" s="7" t="s">
        <v>122</v>
      </c>
      <c r="E33" s="8">
        <v>0</v>
      </c>
      <c r="F33" s="8"/>
      <c r="G33" s="9">
        <v>0</v>
      </c>
      <c r="H33" s="8">
        <f t="shared" si="2"/>
        <v>0</v>
      </c>
    </row>
    <row r="34" spans="2:8" hidden="1" x14ac:dyDescent="0.3">
      <c r="B34" s="10">
        <v>29</v>
      </c>
      <c r="C34" s="7" t="str">
        <f t="shared" si="1"/>
        <v>Produto / Serviço 29</v>
      </c>
      <c r="D34" s="7" t="s">
        <v>123</v>
      </c>
      <c r="E34" s="8">
        <v>0</v>
      </c>
      <c r="F34" s="8"/>
      <c r="G34" s="9">
        <v>0</v>
      </c>
      <c r="H34" s="8">
        <f t="shared" si="2"/>
        <v>0</v>
      </c>
    </row>
    <row r="35" spans="2:8" hidden="1" x14ac:dyDescent="0.3">
      <c r="B35" s="10">
        <v>30</v>
      </c>
      <c r="C35" s="7" t="str">
        <f t="shared" si="1"/>
        <v>Produto / Serviço 30</v>
      </c>
      <c r="D35" s="7" t="s">
        <v>121</v>
      </c>
      <c r="E35" s="8">
        <v>0</v>
      </c>
      <c r="F35" s="8"/>
      <c r="G35" s="9">
        <v>0</v>
      </c>
      <c r="H35" s="8">
        <f t="shared" si="2"/>
        <v>0</v>
      </c>
    </row>
    <row r="36" spans="2:8" hidden="1" x14ac:dyDescent="0.3">
      <c r="B36" s="10">
        <v>31</v>
      </c>
      <c r="C36" s="7" t="str">
        <f t="shared" si="1"/>
        <v>Produto / Serviço 31</v>
      </c>
      <c r="D36" s="7" t="s">
        <v>123</v>
      </c>
      <c r="E36" s="8">
        <v>0</v>
      </c>
      <c r="F36" s="8"/>
      <c r="G36" s="9">
        <v>0</v>
      </c>
      <c r="H36" s="8">
        <f t="shared" si="2"/>
        <v>0</v>
      </c>
    </row>
    <row r="37" spans="2:8" hidden="1" x14ac:dyDescent="0.3">
      <c r="B37" s="10">
        <v>32</v>
      </c>
      <c r="C37" s="7" t="str">
        <f t="shared" si="1"/>
        <v>Produto / Serviço 32</v>
      </c>
      <c r="D37" s="7" t="s">
        <v>123</v>
      </c>
      <c r="E37" s="8">
        <v>0</v>
      </c>
      <c r="F37" s="8"/>
      <c r="G37" s="9">
        <v>0</v>
      </c>
      <c r="H37" s="8">
        <f t="shared" si="2"/>
        <v>0</v>
      </c>
    </row>
    <row r="38" spans="2:8" hidden="1" x14ac:dyDescent="0.3">
      <c r="B38" s="10">
        <v>33</v>
      </c>
      <c r="C38" s="7" t="str">
        <f t="shared" si="1"/>
        <v>Produto / Serviço 33</v>
      </c>
      <c r="D38" s="7" t="s">
        <v>122</v>
      </c>
      <c r="E38" s="8">
        <v>0</v>
      </c>
      <c r="F38" s="8"/>
      <c r="G38" s="9">
        <v>0</v>
      </c>
      <c r="H38" s="8">
        <f t="shared" si="2"/>
        <v>0</v>
      </c>
    </row>
    <row r="39" spans="2:8" hidden="1" x14ac:dyDescent="0.3">
      <c r="B39" s="10">
        <v>34</v>
      </c>
      <c r="C39" s="7" t="str">
        <f t="shared" si="1"/>
        <v>Produto / Serviço 34</v>
      </c>
      <c r="D39" s="7" t="s">
        <v>121</v>
      </c>
      <c r="E39" s="8">
        <v>0</v>
      </c>
      <c r="F39" s="8"/>
      <c r="G39" s="9">
        <v>0</v>
      </c>
      <c r="H39" s="8">
        <f t="shared" si="2"/>
        <v>0</v>
      </c>
    </row>
    <row r="40" spans="2:8" hidden="1" x14ac:dyDescent="0.3">
      <c r="B40" s="10">
        <v>35</v>
      </c>
      <c r="C40" s="7" t="str">
        <f t="shared" si="1"/>
        <v>Produto / Serviço 35</v>
      </c>
      <c r="D40" s="7" t="s">
        <v>122</v>
      </c>
      <c r="E40" s="8">
        <v>0</v>
      </c>
      <c r="F40" s="8"/>
      <c r="G40" s="9">
        <v>0</v>
      </c>
      <c r="H40" s="8">
        <f t="shared" si="2"/>
        <v>0</v>
      </c>
    </row>
    <row r="41" spans="2:8" hidden="1" x14ac:dyDescent="0.3">
      <c r="B41" s="10">
        <v>36</v>
      </c>
      <c r="C41" s="7" t="str">
        <f t="shared" si="1"/>
        <v>Produto / Serviço 36</v>
      </c>
      <c r="D41" s="7" t="s">
        <v>123</v>
      </c>
      <c r="E41" s="8">
        <v>0</v>
      </c>
      <c r="F41" s="8"/>
      <c r="G41" s="9">
        <v>0</v>
      </c>
      <c r="H41" s="8">
        <f t="shared" si="2"/>
        <v>0</v>
      </c>
    </row>
    <row r="42" spans="2:8" hidden="1" x14ac:dyDescent="0.3">
      <c r="B42" s="10">
        <v>37</v>
      </c>
      <c r="C42" s="7" t="str">
        <f t="shared" si="1"/>
        <v>Produto / Serviço 37</v>
      </c>
      <c r="D42" s="7" t="s">
        <v>123</v>
      </c>
      <c r="E42" s="8">
        <v>0</v>
      </c>
      <c r="F42" s="8"/>
      <c r="G42" s="9">
        <v>0</v>
      </c>
      <c r="H42" s="8">
        <f t="shared" si="2"/>
        <v>0</v>
      </c>
    </row>
    <row r="43" spans="2:8" hidden="1" x14ac:dyDescent="0.3">
      <c r="B43" s="10">
        <v>38</v>
      </c>
      <c r="C43" s="7" t="str">
        <f t="shared" si="1"/>
        <v>Produto / Serviço 38</v>
      </c>
      <c r="D43" s="7" t="s">
        <v>121</v>
      </c>
      <c r="E43" s="8">
        <v>0</v>
      </c>
      <c r="F43" s="8"/>
      <c r="G43" s="9">
        <v>0</v>
      </c>
      <c r="H43" s="8">
        <f t="shared" si="2"/>
        <v>0</v>
      </c>
    </row>
    <row r="44" spans="2:8" hidden="1" x14ac:dyDescent="0.3">
      <c r="B44" s="10">
        <v>39</v>
      </c>
      <c r="C44" s="7" t="str">
        <f t="shared" si="1"/>
        <v>Produto / Serviço 39</v>
      </c>
      <c r="D44" s="7" t="s">
        <v>122</v>
      </c>
      <c r="E44" s="8">
        <v>0</v>
      </c>
      <c r="F44" s="8"/>
      <c r="G44" s="9">
        <v>0</v>
      </c>
      <c r="H44" s="8">
        <f t="shared" si="2"/>
        <v>0</v>
      </c>
    </row>
    <row r="45" spans="2:8" hidden="1" x14ac:dyDescent="0.3">
      <c r="B45" s="10">
        <v>40</v>
      </c>
      <c r="C45" s="7" t="str">
        <f t="shared" si="1"/>
        <v>Produto / Serviço 40</v>
      </c>
      <c r="D45" s="7" t="s">
        <v>123</v>
      </c>
      <c r="E45" s="8">
        <v>0</v>
      </c>
      <c r="F45" s="8"/>
      <c r="G45" s="9">
        <v>0</v>
      </c>
      <c r="H45" s="8">
        <f t="shared" si="2"/>
        <v>0</v>
      </c>
    </row>
    <row r="46" spans="2:8" hidden="1" x14ac:dyDescent="0.3">
      <c r="B46" s="10">
        <v>41</v>
      </c>
      <c r="C46" s="7" t="str">
        <f t="shared" si="1"/>
        <v>Produto / Serviço 41</v>
      </c>
      <c r="D46" s="7" t="s">
        <v>121</v>
      </c>
      <c r="E46" s="8">
        <v>0</v>
      </c>
      <c r="F46" s="8"/>
      <c r="G46" s="9">
        <v>0</v>
      </c>
      <c r="H46" s="8">
        <f t="shared" si="2"/>
        <v>0</v>
      </c>
    </row>
    <row r="47" spans="2:8" hidden="1" x14ac:dyDescent="0.3">
      <c r="B47" s="10">
        <v>42</v>
      </c>
      <c r="C47" s="7" t="str">
        <f t="shared" si="1"/>
        <v>Produto / Serviço 42</v>
      </c>
      <c r="D47" s="7" t="s">
        <v>123</v>
      </c>
      <c r="E47" s="8">
        <v>0</v>
      </c>
      <c r="F47" s="8"/>
      <c r="G47" s="9">
        <v>0</v>
      </c>
      <c r="H47" s="8">
        <f t="shared" si="2"/>
        <v>0</v>
      </c>
    </row>
    <row r="48" spans="2:8" hidden="1" x14ac:dyDescent="0.3">
      <c r="B48" s="10">
        <v>43</v>
      </c>
      <c r="C48" s="7" t="str">
        <f t="shared" si="1"/>
        <v>Produto / Serviço 43</v>
      </c>
      <c r="D48" s="7" t="s">
        <v>123</v>
      </c>
      <c r="E48" s="8">
        <v>0</v>
      </c>
      <c r="F48" s="8"/>
      <c r="G48" s="9">
        <v>0</v>
      </c>
      <c r="H48" s="8">
        <f t="shared" si="2"/>
        <v>0</v>
      </c>
    </row>
    <row r="49" spans="2:8" hidden="1" x14ac:dyDescent="0.3">
      <c r="B49" s="10">
        <v>44</v>
      </c>
      <c r="C49" s="7" t="str">
        <f t="shared" si="1"/>
        <v>Produto / Serviço 44</v>
      </c>
      <c r="D49" s="7" t="s">
        <v>122</v>
      </c>
      <c r="E49" s="8">
        <v>0</v>
      </c>
      <c r="F49" s="8"/>
      <c r="G49" s="9">
        <v>0</v>
      </c>
      <c r="H49" s="8">
        <f t="shared" si="2"/>
        <v>0</v>
      </c>
    </row>
    <row r="50" spans="2:8" hidden="1" x14ac:dyDescent="0.3">
      <c r="B50" s="10">
        <v>45</v>
      </c>
      <c r="C50" s="7" t="str">
        <f t="shared" si="1"/>
        <v>Produto / Serviço 45</v>
      </c>
      <c r="D50" s="7" t="s">
        <v>123</v>
      </c>
      <c r="E50" s="8">
        <v>0</v>
      </c>
      <c r="F50" s="8"/>
      <c r="G50" s="9">
        <v>0</v>
      </c>
      <c r="H50" s="8">
        <f t="shared" si="2"/>
        <v>0</v>
      </c>
    </row>
    <row r="51" spans="2:8" hidden="1" x14ac:dyDescent="0.3">
      <c r="B51" s="10">
        <v>46</v>
      </c>
      <c r="C51" s="7" t="str">
        <f t="shared" si="1"/>
        <v>Produto / Serviço 46</v>
      </c>
      <c r="D51" s="7" t="s">
        <v>121</v>
      </c>
      <c r="E51" s="8">
        <v>0</v>
      </c>
      <c r="F51" s="8"/>
      <c r="G51" s="9">
        <v>0</v>
      </c>
      <c r="H51" s="8">
        <f t="shared" si="2"/>
        <v>0</v>
      </c>
    </row>
    <row r="52" spans="2:8" hidden="1" x14ac:dyDescent="0.3">
      <c r="B52" s="10">
        <v>47</v>
      </c>
      <c r="C52" s="7" t="str">
        <f t="shared" si="1"/>
        <v>Produto / Serviço 47</v>
      </c>
      <c r="D52" s="7" t="s">
        <v>122</v>
      </c>
      <c r="E52" s="8">
        <v>0</v>
      </c>
      <c r="F52" s="8"/>
      <c r="G52" s="9">
        <v>0</v>
      </c>
      <c r="H52" s="8">
        <f t="shared" si="2"/>
        <v>0</v>
      </c>
    </row>
    <row r="53" spans="2:8" hidden="1" x14ac:dyDescent="0.3">
      <c r="B53" s="10">
        <v>48</v>
      </c>
      <c r="C53" s="7" t="str">
        <f t="shared" si="1"/>
        <v>Produto / Serviço 48</v>
      </c>
      <c r="D53" s="7" t="s">
        <v>123</v>
      </c>
      <c r="E53" s="8">
        <v>0</v>
      </c>
      <c r="F53" s="8"/>
      <c r="G53" s="9">
        <v>0</v>
      </c>
      <c r="H53" s="8">
        <f t="shared" si="2"/>
        <v>0</v>
      </c>
    </row>
    <row r="54" spans="2:8" hidden="1" x14ac:dyDescent="0.3">
      <c r="B54" s="10">
        <v>49</v>
      </c>
      <c r="C54" s="7" t="str">
        <f t="shared" si="1"/>
        <v>Produto / Serviço 49</v>
      </c>
      <c r="D54" s="7" t="s">
        <v>122</v>
      </c>
      <c r="E54" s="8">
        <v>0</v>
      </c>
      <c r="F54" s="8"/>
      <c r="G54" s="9">
        <v>0</v>
      </c>
      <c r="H54" s="8">
        <f t="shared" si="2"/>
        <v>0</v>
      </c>
    </row>
    <row r="55" spans="2:8" hidden="1" x14ac:dyDescent="0.3">
      <c r="B55" s="10">
        <v>50</v>
      </c>
      <c r="C55" s="7" t="str">
        <f t="shared" si="1"/>
        <v>Produto / Serviço 50</v>
      </c>
      <c r="D55" s="7" t="s">
        <v>123</v>
      </c>
      <c r="E55" s="8">
        <v>0</v>
      </c>
      <c r="F55" s="8"/>
      <c r="G55" s="9">
        <v>0</v>
      </c>
      <c r="H55" s="8">
        <f t="shared" si="2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55"/>
  <sheetViews>
    <sheetView zoomScaleNormal="100" workbookViewId="0">
      <selection activeCell="A4" sqref="A4"/>
    </sheetView>
  </sheetViews>
  <sheetFormatPr defaultRowHeight="14.4" x14ac:dyDescent="0.3"/>
  <cols>
    <col min="1" max="1" width="3.6640625" style="4" customWidth="1"/>
    <col min="2" max="2" width="5.109375" style="4" bestFit="1" customWidth="1"/>
    <col min="3" max="3" width="19.6640625" style="4" bestFit="1" customWidth="1"/>
    <col min="4" max="4" width="25.88671875" style="4" bestFit="1" customWidth="1"/>
    <col min="5" max="16384" width="8.88671875" style="4"/>
  </cols>
  <sheetData>
    <row r="1" spans="2:4" s="14" customFormat="1" x14ac:dyDescent="0.3">
      <c r="B1" s="14" t="s">
        <v>140</v>
      </c>
    </row>
    <row r="2" spans="2:4" s="14" customFormat="1" x14ac:dyDescent="0.3">
      <c r="B2" s="14" t="s">
        <v>141</v>
      </c>
    </row>
    <row r="3" spans="2:4" s="14" customFormat="1" x14ac:dyDescent="0.3"/>
    <row r="5" spans="2:4" x14ac:dyDescent="0.3">
      <c r="B5" s="10" t="s">
        <v>37</v>
      </c>
      <c r="C5" s="10" t="s">
        <v>3</v>
      </c>
      <c r="D5" s="15" t="s">
        <v>125</v>
      </c>
    </row>
    <row r="6" spans="2:4" ht="15" customHeight="1" x14ac:dyDescent="0.3">
      <c r="B6" s="10">
        <v>1</v>
      </c>
      <c r="C6" s="7" t="str">
        <f>Produtos!C6</f>
        <v>Sistema 1 kWp</v>
      </c>
      <c r="D6" s="7">
        <v>1</v>
      </c>
    </row>
    <row r="7" spans="2:4" x14ac:dyDescent="0.3">
      <c r="B7" s="10">
        <v>2</v>
      </c>
      <c r="C7" s="7" t="str">
        <f>Produtos!C7</f>
        <v>Sistema 2 kWp</v>
      </c>
      <c r="D7" s="7">
        <v>1</v>
      </c>
    </row>
    <row r="8" spans="2:4" x14ac:dyDescent="0.3">
      <c r="B8" s="10">
        <v>3</v>
      </c>
      <c r="C8" s="7" t="str">
        <f>Produtos!C8</f>
        <v>Sistema 3 kWp</v>
      </c>
      <c r="D8" s="7">
        <v>1</v>
      </c>
    </row>
    <row r="9" spans="2:4" x14ac:dyDescent="0.3">
      <c r="B9" s="10">
        <v>4</v>
      </c>
      <c r="C9" s="7" t="str">
        <f>Produtos!C9</f>
        <v>Sistema 4 kWp</v>
      </c>
      <c r="D9" s="7">
        <v>1</v>
      </c>
    </row>
    <row r="10" spans="2:4" ht="15" customHeight="1" x14ac:dyDescent="0.3">
      <c r="B10" s="10">
        <v>5</v>
      </c>
      <c r="C10" s="7" t="str">
        <f>Produtos!C10</f>
        <v>Sistema 5 kWp</v>
      </c>
      <c r="D10" s="7">
        <v>1</v>
      </c>
    </row>
    <row r="11" spans="2:4" x14ac:dyDescent="0.3">
      <c r="B11" s="10">
        <v>6</v>
      </c>
      <c r="C11" s="7" t="str">
        <f>Produtos!C11</f>
        <v>Sistema 10 kWp</v>
      </c>
      <c r="D11" s="7">
        <v>0.5</v>
      </c>
    </row>
    <row r="12" spans="2:4" x14ac:dyDescent="0.3">
      <c r="B12" s="10">
        <v>7</v>
      </c>
      <c r="C12" s="7" t="str">
        <f>Produtos!C12</f>
        <v>Sistema 15 kWp</v>
      </c>
      <c r="D12" s="7">
        <v>0.5</v>
      </c>
    </row>
    <row r="13" spans="2:4" x14ac:dyDescent="0.3">
      <c r="B13" s="10">
        <v>8</v>
      </c>
      <c r="C13" s="7" t="str">
        <f>Produtos!C13</f>
        <v>Sistema 20 kWp</v>
      </c>
      <c r="D13" s="7">
        <v>0.5</v>
      </c>
    </row>
    <row r="14" spans="2:4" x14ac:dyDescent="0.3">
      <c r="B14" s="10">
        <v>9</v>
      </c>
      <c r="C14" s="7" t="str">
        <f>Produtos!C14</f>
        <v>Sistema 30 kWp</v>
      </c>
      <c r="D14" s="7">
        <v>0.5</v>
      </c>
    </row>
    <row r="15" spans="2:4" x14ac:dyDescent="0.3">
      <c r="B15" s="10">
        <v>10</v>
      </c>
      <c r="C15" s="7" t="str">
        <f>Produtos!C15</f>
        <v>Sistema 40 kWp</v>
      </c>
      <c r="D15" s="7">
        <v>0.25</v>
      </c>
    </row>
    <row r="16" spans="2:4" x14ac:dyDescent="0.3">
      <c r="B16" s="10">
        <v>11</v>
      </c>
      <c r="C16" s="7" t="str">
        <f>Produtos!C16</f>
        <v>Sistema 50 kWp</v>
      </c>
      <c r="D16" s="7">
        <v>0.25</v>
      </c>
    </row>
    <row r="17" spans="2:4" x14ac:dyDescent="0.3">
      <c r="B17" s="10">
        <v>12</v>
      </c>
      <c r="C17" s="7" t="str">
        <f>Produtos!C17</f>
        <v>Sistema 100 kWp</v>
      </c>
      <c r="D17" s="7">
        <v>0.25</v>
      </c>
    </row>
    <row r="18" spans="2:4" ht="15" customHeight="1" x14ac:dyDescent="0.3">
      <c r="B18" s="10">
        <v>13</v>
      </c>
      <c r="C18" s="7" t="str">
        <f>Produtos!C18</f>
        <v>Sistema 200 kWp</v>
      </c>
      <c r="D18" s="7">
        <v>0.25</v>
      </c>
    </row>
    <row r="19" spans="2:4" x14ac:dyDescent="0.3">
      <c r="B19" s="10">
        <v>14</v>
      </c>
      <c r="C19" s="7" t="str">
        <f>Produtos!C19</f>
        <v>Sistema 300 kWp</v>
      </c>
      <c r="D19" s="7">
        <v>0.2</v>
      </c>
    </row>
    <row r="20" spans="2:4" x14ac:dyDescent="0.3">
      <c r="B20" s="10">
        <v>15</v>
      </c>
      <c r="C20" s="7" t="str">
        <f>Produtos!C20</f>
        <v>Sistema 400 kWp</v>
      </c>
      <c r="D20" s="7">
        <v>0.2</v>
      </c>
    </row>
    <row r="21" spans="2:4" x14ac:dyDescent="0.3">
      <c r="B21" s="10">
        <v>16</v>
      </c>
      <c r="C21" s="7" t="str">
        <f>Produtos!C21</f>
        <v>Sistema 500 kWp</v>
      </c>
      <c r="D21" s="7">
        <v>0.2</v>
      </c>
    </row>
    <row r="22" spans="2:4" x14ac:dyDescent="0.3">
      <c r="B22" s="10">
        <v>17</v>
      </c>
      <c r="C22" s="7" t="str">
        <f>Produtos!C22</f>
        <v>Limpeza de paineis</v>
      </c>
      <c r="D22" s="7">
        <v>5</v>
      </c>
    </row>
    <row r="23" spans="2:4" x14ac:dyDescent="0.3">
      <c r="B23" s="10">
        <v>18</v>
      </c>
      <c r="C23" s="7" t="str">
        <f>Produtos!C23</f>
        <v>Projeto pequeno porte</v>
      </c>
      <c r="D23" s="7">
        <v>4</v>
      </c>
    </row>
    <row r="24" spans="2:4" x14ac:dyDescent="0.3">
      <c r="B24" s="10">
        <v>19</v>
      </c>
      <c r="C24" s="7" t="str">
        <f>Produtos!C24</f>
        <v>Projeto médio porte</v>
      </c>
      <c r="D24" s="7">
        <v>2</v>
      </c>
    </row>
    <row r="25" spans="2:4" x14ac:dyDescent="0.3">
      <c r="B25" s="10">
        <v>20</v>
      </c>
      <c r="C25" s="7" t="str">
        <f>Produtos!C25</f>
        <v>Projeto grande porte</v>
      </c>
      <c r="D25" s="7">
        <v>1</v>
      </c>
    </row>
    <row r="26" spans="2:4" hidden="1" x14ac:dyDescent="0.3">
      <c r="B26" s="10">
        <v>21</v>
      </c>
      <c r="C26" s="7" t="str">
        <f>Produtos!C26</f>
        <v>Produto / Serviço 21</v>
      </c>
      <c r="D26" s="7">
        <v>0</v>
      </c>
    </row>
    <row r="27" spans="2:4" hidden="1" x14ac:dyDescent="0.3">
      <c r="B27" s="10">
        <v>22</v>
      </c>
      <c r="C27" s="7" t="str">
        <f>Produtos!C27</f>
        <v>Produto / Serviço 22</v>
      </c>
      <c r="D27" s="7">
        <v>0</v>
      </c>
    </row>
    <row r="28" spans="2:4" ht="15" hidden="1" customHeight="1" x14ac:dyDescent="0.3">
      <c r="B28" s="10">
        <v>23</v>
      </c>
      <c r="C28" s="7" t="str">
        <f>Produtos!C28</f>
        <v>Produto / Serviço 23</v>
      </c>
      <c r="D28" s="7">
        <v>0</v>
      </c>
    </row>
    <row r="29" spans="2:4" hidden="1" x14ac:dyDescent="0.3">
      <c r="B29" s="10">
        <v>24</v>
      </c>
      <c r="C29" s="7" t="str">
        <f>Produtos!C29</f>
        <v>Produto / Serviço 24</v>
      </c>
      <c r="D29" s="7">
        <v>0</v>
      </c>
    </row>
    <row r="30" spans="2:4" hidden="1" x14ac:dyDescent="0.3">
      <c r="B30" s="10">
        <v>25</v>
      </c>
      <c r="C30" s="7" t="str">
        <f>Produtos!C30</f>
        <v>Produto / Serviço 25</v>
      </c>
      <c r="D30" s="7">
        <v>0</v>
      </c>
    </row>
    <row r="31" spans="2:4" hidden="1" x14ac:dyDescent="0.3">
      <c r="B31" s="10">
        <v>26</v>
      </c>
      <c r="C31" s="7" t="str">
        <f>Produtos!C31</f>
        <v>Produto / Serviço 26</v>
      </c>
      <c r="D31" s="7">
        <v>0</v>
      </c>
    </row>
    <row r="32" spans="2:4" ht="15" hidden="1" customHeight="1" x14ac:dyDescent="0.3">
      <c r="B32" s="10">
        <v>27</v>
      </c>
      <c r="C32" s="7" t="str">
        <f>Produtos!C32</f>
        <v>Produto / Serviço 27</v>
      </c>
      <c r="D32" s="7">
        <v>0</v>
      </c>
    </row>
    <row r="33" spans="2:4" hidden="1" x14ac:dyDescent="0.3">
      <c r="B33" s="10">
        <v>28</v>
      </c>
      <c r="C33" s="7" t="str">
        <f>Produtos!C33</f>
        <v>Produto / Serviço 28</v>
      </c>
      <c r="D33" s="7">
        <v>0</v>
      </c>
    </row>
    <row r="34" spans="2:4" hidden="1" x14ac:dyDescent="0.3">
      <c r="B34" s="10">
        <v>29</v>
      </c>
      <c r="C34" s="7" t="str">
        <f>Produtos!C34</f>
        <v>Produto / Serviço 29</v>
      </c>
      <c r="D34" s="7">
        <v>0</v>
      </c>
    </row>
    <row r="35" spans="2:4" hidden="1" x14ac:dyDescent="0.3">
      <c r="B35" s="10">
        <v>30</v>
      </c>
      <c r="C35" s="7" t="str">
        <f>Produtos!C35</f>
        <v>Produto / Serviço 30</v>
      </c>
      <c r="D35" s="7">
        <v>0</v>
      </c>
    </row>
    <row r="36" spans="2:4" hidden="1" x14ac:dyDescent="0.3">
      <c r="B36" s="10">
        <v>31</v>
      </c>
      <c r="C36" s="7" t="str">
        <f>Produtos!C36</f>
        <v>Produto / Serviço 31</v>
      </c>
      <c r="D36" s="7">
        <v>0</v>
      </c>
    </row>
    <row r="37" spans="2:4" hidden="1" x14ac:dyDescent="0.3">
      <c r="B37" s="10">
        <v>32</v>
      </c>
      <c r="C37" s="7" t="str">
        <f>Produtos!C37</f>
        <v>Produto / Serviço 32</v>
      </c>
      <c r="D37" s="7">
        <v>0</v>
      </c>
    </row>
    <row r="38" spans="2:4" hidden="1" x14ac:dyDescent="0.3">
      <c r="B38" s="10">
        <v>33</v>
      </c>
      <c r="C38" s="7" t="str">
        <f>Produtos!C38</f>
        <v>Produto / Serviço 33</v>
      </c>
      <c r="D38" s="7">
        <v>0</v>
      </c>
    </row>
    <row r="39" spans="2:4" hidden="1" x14ac:dyDescent="0.3">
      <c r="B39" s="10">
        <v>34</v>
      </c>
      <c r="C39" s="7" t="str">
        <f>Produtos!C39</f>
        <v>Produto / Serviço 34</v>
      </c>
      <c r="D39" s="7">
        <v>0</v>
      </c>
    </row>
    <row r="40" spans="2:4" ht="15" hidden="1" customHeight="1" x14ac:dyDescent="0.3">
      <c r="B40" s="10">
        <v>35</v>
      </c>
      <c r="C40" s="7" t="str">
        <f>Produtos!C40</f>
        <v>Produto / Serviço 35</v>
      </c>
      <c r="D40" s="7">
        <v>0</v>
      </c>
    </row>
    <row r="41" spans="2:4" hidden="1" x14ac:dyDescent="0.3">
      <c r="B41" s="10">
        <v>36</v>
      </c>
      <c r="C41" s="7" t="str">
        <f>Produtos!C41</f>
        <v>Produto / Serviço 36</v>
      </c>
      <c r="D41" s="7">
        <v>0</v>
      </c>
    </row>
    <row r="42" spans="2:4" hidden="1" x14ac:dyDescent="0.3">
      <c r="B42" s="10">
        <v>37</v>
      </c>
      <c r="C42" s="7" t="str">
        <f>Produtos!C42</f>
        <v>Produto / Serviço 37</v>
      </c>
      <c r="D42" s="7">
        <v>0</v>
      </c>
    </row>
    <row r="43" spans="2:4" hidden="1" x14ac:dyDescent="0.3">
      <c r="B43" s="10">
        <v>38</v>
      </c>
      <c r="C43" s="7" t="str">
        <f>Produtos!C43</f>
        <v>Produto / Serviço 38</v>
      </c>
      <c r="D43" s="7">
        <v>0</v>
      </c>
    </row>
    <row r="44" spans="2:4" hidden="1" x14ac:dyDescent="0.3">
      <c r="B44" s="10">
        <v>39</v>
      </c>
      <c r="C44" s="7" t="str">
        <f>Produtos!C44</f>
        <v>Produto / Serviço 39</v>
      </c>
      <c r="D44" s="7">
        <v>0</v>
      </c>
    </row>
    <row r="45" spans="2:4" hidden="1" x14ac:dyDescent="0.3">
      <c r="B45" s="10">
        <v>40</v>
      </c>
      <c r="C45" s="7" t="str">
        <f>Produtos!C45</f>
        <v>Produto / Serviço 40</v>
      </c>
      <c r="D45" s="7">
        <v>0</v>
      </c>
    </row>
    <row r="46" spans="2:4" hidden="1" x14ac:dyDescent="0.3">
      <c r="B46" s="10">
        <v>41</v>
      </c>
      <c r="C46" s="7" t="str">
        <f>Produtos!C46</f>
        <v>Produto / Serviço 41</v>
      </c>
      <c r="D46" s="7">
        <v>0</v>
      </c>
    </row>
    <row r="47" spans="2:4" hidden="1" x14ac:dyDescent="0.3">
      <c r="B47" s="10">
        <v>42</v>
      </c>
      <c r="C47" s="7" t="str">
        <f>Produtos!C47</f>
        <v>Produto / Serviço 42</v>
      </c>
      <c r="D47" s="7">
        <v>0</v>
      </c>
    </row>
    <row r="48" spans="2:4" hidden="1" x14ac:dyDescent="0.3">
      <c r="B48" s="10">
        <v>43</v>
      </c>
      <c r="C48" s="7" t="str">
        <f>Produtos!C48</f>
        <v>Produto / Serviço 43</v>
      </c>
      <c r="D48" s="7">
        <v>0</v>
      </c>
    </row>
    <row r="49" spans="2:4" hidden="1" x14ac:dyDescent="0.3">
      <c r="B49" s="10">
        <v>44</v>
      </c>
      <c r="C49" s="7" t="str">
        <f>Produtos!C49</f>
        <v>Produto / Serviço 44</v>
      </c>
      <c r="D49" s="7">
        <v>0</v>
      </c>
    </row>
    <row r="50" spans="2:4" hidden="1" x14ac:dyDescent="0.3">
      <c r="B50" s="10">
        <v>45</v>
      </c>
      <c r="C50" s="7" t="str">
        <f>Produtos!C50</f>
        <v>Produto / Serviço 45</v>
      </c>
      <c r="D50" s="7">
        <v>0</v>
      </c>
    </row>
    <row r="51" spans="2:4" ht="15" hidden="1" customHeight="1" x14ac:dyDescent="0.3">
      <c r="B51" s="10">
        <v>46</v>
      </c>
      <c r="C51" s="7" t="str">
        <f>Produtos!C51</f>
        <v>Produto / Serviço 46</v>
      </c>
      <c r="D51" s="7">
        <v>0</v>
      </c>
    </row>
    <row r="52" spans="2:4" hidden="1" x14ac:dyDescent="0.3">
      <c r="B52" s="10">
        <v>47</v>
      </c>
      <c r="C52" s="7" t="str">
        <f>Produtos!C52</f>
        <v>Produto / Serviço 47</v>
      </c>
      <c r="D52" s="7">
        <v>0</v>
      </c>
    </row>
    <row r="53" spans="2:4" hidden="1" x14ac:dyDescent="0.3">
      <c r="B53" s="10">
        <v>48</v>
      </c>
      <c r="C53" s="7" t="str">
        <f>Produtos!C53</f>
        <v>Produto / Serviço 48</v>
      </c>
      <c r="D53" s="7">
        <v>0</v>
      </c>
    </row>
    <row r="54" spans="2:4" hidden="1" x14ac:dyDescent="0.3">
      <c r="B54" s="10">
        <v>49</v>
      </c>
      <c r="C54" s="7" t="str">
        <f>Produtos!C54</f>
        <v>Produto / Serviço 49</v>
      </c>
      <c r="D54" s="7">
        <v>0</v>
      </c>
    </row>
    <row r="55" spans="2:4" ht="15" hidden="1" customHeight="1" x14ac:dyDescent="0.3">
      <c r="B55" s="10">
        <v>50</v>
      </c>
      <c r="C55" s="7" t="str">
        <f>Produtos!C55</f>
        <v>Produto / Serviço 50</v>
      </c>
      <c r="D55" s="7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56"/>
  <sheetViews>
    <sheetView zoomScaleNormal="100" workbookViewId="0">
      <selection activeCell="A4" sqref="A4"/>
    </sheetView>
  </sheetViews>
  <sheetFormatPr defaultColWidth="9.109375" defaultRowHeight="14.4" x14ac:dyDescent="0.3"/>
  <cols>
    <col min="1" max="1" width="3.6640625" style="4" customWidth="1"/>
    <col min="2" max="2" width="5.109375" style="4" bestFit="1" customWidth="1"/>
    <col min="3" max="3" width="51.33203125" style="4" customWidth="1"/>
    <col min="4" max="4" width="29.109375" style="4" bestFit="1" customWidth="1"/>
    <col min="5" max="5" width="15.5546875" style="4" bestFit="1" customWidth="1"/>
    <col min="6" max="6" width="15.6640625" style="4" bestFit="1" customWidth="1"/>
    <col min="7" max="16384" width="9.109375" style="4"/>
  </cols>
  <sheetData>
    <row r="1" spans="2:6" s="14" customFormat="1" x14ac:dyDescent="0.3">
      <c r="B1" s="14" t="s">
        <v>140</v>
      </c>
    </row>
    <row r="2" spans="2:6" s="14" customFormat="1" x14ac:dyDescent="0.3">
      <c r="B2" s="14" t="s">
        <v>141</v>
      </c>
    </row>
    <row r="3" spans="2:6" s="14" customFormat="1" x14ac:dyDescent="0.3"/>
    <row r="4" spans="2:6" x14ac:dyDescent="0.3">
      <c r="E4" s="16"/>
      <c r="F4" s="16"/>
    </row>
    <row r="5" spans="2:6" ht="28.8" x14ac:dyDescent="0.3">
      <c r="B5" s="10" t="s">
        <v>37</v>
      </c>
      <c r="C5" s="10" t="s">
        <v>3</v>
      </c>
      <c r="D5" s="10" t="s">
        <v>40</v>
      </c>
      <c r="E5" s="19" t="s">
        <v>0</v>
      </c>
      <c r="F5" s="20" t="s">
        <v>80</v>
      </c>
    </row>
    <row r="6" spans="2:6" ht="15" customHeight="1" x14ac:dyDescent="0.3">
      <c r="B6" s="10">
        <v>1</v>
      </c>
      <c r="C6" s="7" t="str">
        <f>Produtos!C6</f>
        <v>Sistema 1 kWp</v>
      </c>
      <c r="D6" s="7">
        <f>'Vendas (q)'!D6</f>
        <v>1</v>
      </c>
      <c r="E6" s="17">
        <f>Produtos!H6</f>
        <v>6000</v>
      </c>
      <c r="F6" s="17">
        <f>E6*D6</f>
        <v>6000</v>
      </c>
    </row>
    <row r="7" spans="2:6" x14ac:dyDescent="0.3">
      <c r="B7" s="10">
        <v>2</v>
      </c>
      <c r="C7" s="7" t="str">
        <f>Produtos!C7</f>
        <v>Sistema 2 kWp</v>
      </c>
      <c r="D7" s="7">
        <f>'Vendas (q)'!D7</f>
        <v>1</v>
      </c>
      <c r="E7" s="17">
        <f>Produtos!H7</f>
        <v>11700</v>
      </c>
      <c r="F7" s="17">
        <f t="shared" ref="F7:F55" si="0">E7*D7</f>
        <v>11700</v>
      </c>
    </row>
    <row r="8" spans="2:6" x14ac:dyDescent="0.3">
      <c r="B8" s="10">
        <v>3</v>
      </c>
      <c r="C8" s="7" t="str">
        <f>Produtos!C8</f>
        <v>Sistema 3 kWp</v>
      </c>
      <c r="D8" s="7">
        <f>'Vendas (q)'!D8</f>
        <v>1</v>
      </c>
      <c r="E8" s="17">
        <f>Produtos!H8</f>
        <v>18000</v>
      </c>
      <c r="F8" s="17">
        <f t="shared" si="0"/>
        <v>18000</v>
      </c>
    </row>
    <row r="9" spans="2:6" x14ac:dyDescent="0.3">
      <c r="B9" s="10">
        <v>4</v>
      </c>
      <c r="C9" s="7" t="str">
        <f>Produtos!C9</f>
        <v>Sistema 4 kWp</v>
      </c>
      <c r="D9" s="7">
        <f>'Vendas (q)'!D9</f>
        <v>1</v>
      </c>
      <c r="E9" s="17">
        <f>Produtos!H9</f>
        <v>24000</v>
      </c>
      <c r="F9" s="17">
        <f t="shared" si="0"/>
        <v>24000</v>
      </c>
    </row>
    <row r="10" spans="2:6" ht="15" customHeight="1" x14ac:dyDescent="0.3">
      <c r="B10" s="10">
        <v>5</v>
      </c>
      <c r="C10" s="7" t="str">
        <f>Produtos!C10</f>
        <v>Sistema 5 kWp</v>
      </c>
      <c r="D10" s="7">
        <f>'Vendas (q)'!D10</f>
        <v>1</v>
      </c>
      <c r="E10" s="17">
        <f>Produtos!H10</f>
        <v>29000</v>
      </c>
      <c r="F10" s="17">
        <f t="shared" si="0"/>
        <v>29000</v>
      </c>
    </row>
    <row r="11" spans="2:6" x14ac:dyDescent="0.3">
      <c r="B11" s="10">
        <v>6</v>
      </c>
      <c r="C11" s="7" t="str">
        <f>Produtos!C11</f>
        <v>Sistema 10 kWp</v>
      </c>
      <c r="D11" s="7">
        <f>'Vendas (q)'!D11</f>
        <v>0.5</v>
      </c>
      <c r="E11" s="17">
        <f>Produtos!H11</f>
        <v>55600</v>
      </c>
      <c r="F11" s="17">
        <f t="shared" si="0"/>
        <v>27800</v>
      </c>
    </row>
    <row r="12" spans="2:6" x14ac:dyDescent="0.3">
      <c r="B12" s="10">
        <v>7</v>
      </c>
      <c r="C12" s="7" t="str">
        <f>Produtos!C12</f>
        <v>Sistema 15 kWp</v>
      </c>
      <c r="D12" s="7">
        <f>'Vendas (q)'!D12</f>
        <v>0.5</v>
      </c>
      <c r="E12" s="17">
        <f>Produtos!H12</f>
        <v>83400</v>
      </c>
      <c r="F12" s="17">
        <f t="shared" si="0"/>
        <v>41700</v>
      </c>
    </row>
    <row r="13" spans="2:6" x14ac:dyDescent="0.3">
      <c r="B13" s="10">
        <v>8</v>
      </c>
      <c r="C13" s="7" t="str">
        <f>Produtos!C13</f>
        <v>Sistema 20 kWp</v>
      </c>
      <c r="D13" s="7">
        <f>'Vendas (q)'!D13</f>
        <v>0.5</v>
      </c>
      <c r="E13" s="17">
        <f>Produtos!H13</f>
        <v>111200</v>
      </c>
      <c r="F13" s="17">
        <f t="shared" si="0"/>
        <v>55600</v>
      </c>
    </row>
    <row r="14" spans="2:6" x14ac:dyDescent="0.3">
      <c r="B14" s="10">
        <v>9</v>
      </c>
      <c r="C14" s="7" t="str">
        <f>Produtos!C14</f>
        <v>Sistema 30 kWp</v>
      </c>
      <c r="D14" s="7">
        <f>'Vendas (q)'!D14</f>
        <v>0.5</v>
      </c>
      <c r="E14" s="17">
        <f>Produtos!H14</f>
        <v>165000</v>
      </c>
      <c r="F14" s="17">
        <f t="shared" si="0"/>
        <v>82500</v>
      </c>
    </row>
    <row r="15" spans="2:6" x14ac:dyDescent="0.3">
      <c r="B15" s="10">
        <v>10</v>
      </c>
      <c r="C15" s="7" t="str">
        <f>Produtos!C15</f>
        <v>Sistema 40 kWp</v>
      </c>
      <c r="D15" s="7">
        <f>'Vendas (q)'!D15</f>
        <v>0.25</v>
      </c>
      <c r="E15" s="17">
        <f>Produtos!H15</f>
        <v>218800</v>
      </c>
      <c r="F15" s="17">
        <f t="shared" si="0"/>
        <v>54700</v>
      </c>
    </row>
    <row r="16" spans="2:6" x14ac:dyDescent="0.3">
      <c r="B16" s="10">
        <v>11</v>
      </c>
      <c r="C16" s="7" t="str">
        <f>Produtos!C16</f>
        <v>Sistema 50 kWp</v>
      </c>
      <c r="D16" s="7">
        <f>'Vendas (q)'!D16</f>
        <v>0.25</v>
      </c>
      <c r="E16" s="17">
        <f>Produtos!H16</f>
        <v>262600</v>
      </c>
      <c r="F16" s="17">
        <f t="shared" si="0"/>
        <v>65650</v>
      </c>
    </row>
    <row r="17" spans="2:6" x14ac:dyDescent="0.3">
      <c r="B17" s="10">
        <v>12</v>
      </c>
      <c r="C17" s="7" t="str">
        <f>Produtos!C17</f>
        <v>Sistema 100 kWp</v>
      </c>
      <c r="D17" s="7">
        <f>'Vendas (q)'!D17</f>
        <v>0.25</v>
      </c>
      <c r="E17" s="17">
        <f>Produtos!H17</f>
        <v>510000</v>
      </c>
      <c r="F17" s="17">
        <f t="shared" si="0"/>
        <v>127500</v>
      </c>
    </row>
    <row r="18" spans="2:6" ht="15" customHeight="1" x14ac:dyDescent="0.3">
      <c r="B18" s="10">
        <v>13</v>
      </c>
      <c r="C18" s="7" t="str">
        <f>Produtos!C18</f>
        <v>Sistema 200 kWp</v>
      </c>
      <c r="D18" s="7">
        <f>'Vendas (q)'!D18</f>
        <v>0.25</v>
      </c>
      <c r="E18" s="17">
        <f>Produtos!H18</f>
        <v>1020000</v>
      </c>
      <c r="F18" s="17">
        <f t="shared" si="0"/>
        <v>255000</v>
      </c>
    </row>
    <row r="19" spans="2:6" x14ac:dyDescent="0.3">
      <c r="B19" s="10">
        <v>14</v>
      </c>
      <c r="C19" s="7" t="str">
        <f>Produtos!C19</f>
        <v>Sistema 300 kWp</v>
      </c>
      <c r="D19" s="7">
        <f>'Vendas (q)'!D19</f>
        <v>0.2</v>
      </c>
      <c r="E19" s="17">
        <f>Produtos!H19</f>
        <v>1521000</v>
      </c>
      <c r="F19" s="17">
        <f t="shared" si="0"/>
        <v>304200</v>
      </c>
    </row>
    <row r="20" spans="2:6" x14ac:dyDescent="0.3">
      <c r="B20" s="10">
        <v>15</v>
      </c>
      <c r="C20" s="7" t="str">
        <f>Produtos!C20</f>
        <v>Sistema 400 kWp</v>
      </c>
      <c r="D20" s="7">
        <f>'Vendas (q)'!D20</f>
        <v>0.2</v>
      </c>
      <c r="E20" s="17">
        <f>Produtos!H20</f>
        <v>2016000</v>
      </c>
      <c r="F20" s="17">
        <f t="shared" si="0"/>
        <v>403200</v>
      </c>
    </row>
    <row r="21" spans="2:6" x14ac:dyDescent="0.3">
      <c r="B21" s="10">
        <v>16</v>
      </c>
      <c r="C21" s="7" t="str">
        <f>Produtos!C21</f>
        <v>Sistema 500 kWp</v>
      </c>
      <c r="D21" s="7">
        <f>'Vendas (q)'!D21</f>
        <v>0.2</v>
      </c>
      <c r="E21" s="17">
        <f>Produtos!H21</f>
        <v>2405000</v>
      </c>
      <c r="F21" s="17">
        <f t="shared" si="0"/>
        <v>481000</v>
      </c>
    </row>
    <row r="22" spans="2:6" x14ac:dyDescent="0.3">
      <c r="B22" s="10">
        <v>17</v>
      </c>
      <c r="C22" s="7" t="str">
        <f>Produtos!C22</f>
        <v>Limpeza de paineis</v>
      </c>
      <c r="D22" s="7">
        <f>'Vendas (q)'!D22</f>
        <v>5</v>
      </c>
      <c r="E22" s="17">
        <f>Produtos!H22</f>
        <v>275</v>
      </c>
      <c r="F22" s="17">
        <f t="shared" si="0"/>
        <v>1375</v>
      </c>
    </row>
    <row r="23" spans="2:6" x14ac:dyDescent="0.3">
      <c r="B23" s="10">
        <v>18</v>
      </c>
      <c r="C23" s="7" t="str">
        <f>Produtos!C23</f>
        <v>Projeto pequeno porte</v>
      </c>
      <c r="D23" s="7">
        <f>'Vendas (q)'!D23</f>
        <v>4</v>
      </c>
      <c r="E23" s="17">
        <f>Produtos!H23</f>
        <v>1000</v>
      </c>
      <c r="F23" s="17">
        <f t="shared" si="0"/>
        <v>4000</v>
      </c>
    </row>
    <row r="24" spans="2:6" x14ac:dyDescent="0.3">
      <c r="B24" s="10">
        <v>19</v>
      </c>
      <c r="C24" s="7" t="str">
        <f>Produtos!C24</f>
        <v>Projeto médio porte</v>
      </c>
      <c r="D24" s="7">
        <f>'Vendas (q)'!D24</f>
        <v>2</v>
      </c>
      <c r="E24" s="17">
        <f>Produtos!H24</f>
        <v>3000</v>
      </c>
      <c r="F24" s="17">
        <f t="shared" si="0"/>
        <v>6000</v>
      </c>
    </row>
    <row r="25" spans="2:6" x14ac:dyDescent="0.3">
      <c r="B25" s="10">
        <v>20</v>
      </c>
      <c r="C25" s="7" t="str">
        <f>Produtos!C25</f>
        <v>Projeto grande porte</v>
      </c>
      <c r="D25" s="7">
        <f>'Vendas (q)'!D25</f>
        <v>1</v>
      </c>
      <c r="E25" s="17">
        <f>Produtos!H25</f>
        <v>5000</v>
      </c>
      <c r="F25" s="17">
        <f t="shared" si="0"/>
        <v>5000</v>
      </c>
    </row>
    <row r="26" spans="2:6" hidden="1" x14ac:dyDescent="0.3">
      <c r="B26" s="10">
        <v>21</v>
      </c>
      <c r="C26" s="7" t="str">
        <f>Produtos!C26</f>
        <v>Produto / Serviço 21</v>
      </c>
      <c r="D26" s="7">
        <f>'Vendas (q)'!D26</f>
        <v>0</v>
      </c>
      <c r="E26" s="17">
        <f>Produtos!H26</f>
        <v>0</v>
      </c>
      <c r="F26" s="17">
        <f t="shared" si="0"/>
        <v>0</v>
      </c>
    </row>
    <row r="27" spans="2:6" hidden="1" x14ac:dyDescent="0.3">
      <c r="B27" s="10">
        <v>22</v>
      </c>
      <c r="C27" s="7" t="str">
        <f>Produtos!C27</f>
        <v>Produto / Serviço 22</v>
      </c>
      <c r="D27" s="7">
        <f>'Vendas (q)'!D27</f>
        <v>0</v>
      </c>
      <c r="E27" s="17">
        <f>Produtos!H27</f>
        <v>0</v>
      </c>
      <c r="F27" s="17">
        <f t="shared" si="0"/>
        <v>0</v>
      </c>
    </row>
    <row r="28" spans="2:6" ht="15" hidden="1" customHeight="1" x14ac:dyDescent="0.3">
      <c r="B28" s="10">
        <v>23</v>
      </c>
      <c r="C28" s="7" t="str">
        <f>Produtos!C28</f>
        <v>Produto / Serviço 23</v>
      </c>
      <c r="D28" s="7">
        <f>'Vendas (q)'!D28</f>
        <v>0</v>
      </c>
      <c r="E28" s="17">
        <f>Produtos!H28</f>
        <v>0</v>
      </c>
      <c r="F28" s="17">
        <f t="shared" si="0"/>
        <v>0</v>
      </c>
    </row>
    <row r="29" spans="2:6" hidden="1" x14ac:dyDescent="0.3">
      <c r="B29" s="10">
        <v>24</v>
      </c>
      <c r="C29" s="7" t="str">
        <f>Produtos!C29</f>
        <v>Produto / Serviço 24</v>
      </c>
      <c r="D29" s="7">
        <f>'Vendas (q)'!D29</f>
        <v>0</v>
      </c>
      <c r="E29" s="17">
        <f>Produtos!H29</f>
        <v>0</v>
      </c>
      <c r="F29" s="17">
        <f t="shared" si="0"/>
        <v>0</v>
      </c>
    </row>
    <row r="30" spans="2:6" hidden="1" x14ac:dyDescent="0.3">
      <c r="B30" s="10">
        <v>25</v>
      </c>
      <c r="C30" s="7" t="str">
        <f>Produtos!C30</f>
        <v>Produto / Serviço 25</v>
      </c>
      <c r="D30" s="7">
        <f>'Vendas (q)'!D30</f>
        <v>0</v>
      </c>
      <c r="E30" s="17">
        <f>Produtos!H30</f>
        <v>0</v>
      </c>
      <c r="F30" s="17">
        <f t="shared" si="0"/>
        <v>0</v>
      </c>
    </row>
    <row r="31" spans="2:6" hidden="1" x14ac:dyDescent="0.3">
      <c r="B31" s="10">
        <v>26</v>
      </c>
      <c r="C31" s="7" t="str">
        <f>Produtos!C31</f>
        <v>Produto / Serviço 26</v>
      </c>
      <c r="D31" s="7">
        <f>'Vendas (q)'!D31</f>
        <v>0</v>
      </c>
      <c r="E31" s="17">
        <f>Produtos!H31</f>
        <v>0</v>
      </c>
      <c r="F31" s="17">
        <f t="shared" si="0"/>
        <v>0</v>
      </c>
    </row>
    <row r="32" spans="2:6" ht="15" hidden="1" customHeight="1" x14ac:dyDescent="0.3">
      <c r="B32" s="10">
        <v>27</v>
      </c>
      <c r="C32" s="7" t="str">
        <f>Produtos!C32</f>
        <v>Produto / Serviço 27</v>
      </c>
      <c r="D32" s="7">
        <f>'Vendas (q)'!D32</f>
        <v>0</v>
      </c>
      <c r="E32" s="17">
        <f>Produtos!H32</f>
        <v>0</v>
      </c>
      <c r="F32" s="17">
        <f t="shared" si="0"/>
        <v>0</v>
      </c>
    </row>
    <row r="33" spans="2:6" hidden="1" x14ac:dyDescent="0.3">
      <c r="B33" s="10">
        <v>28</v>
      </c>
      <c r="C33" s="7" t="str">
        <f>Produtos!C33</f>
        <v>Produto / Serviço 28</v>
      </c>
      <c r="D33" s="7">
        <f>'Vendas (q)'!D33</f>
        <v>0</v>
      </c>
      <c r="E33" s="17">
        <f>Produtos!H33</f>
        <v>0</v>
      </c>
      <c r="F33" s="17">
        <f t="shared" si="0"/>
        <v>0</v>
      </c>
    </row>
    <row r="34" spans="2:6" hidden="1" x14ac:dyDescent="0.3">
      <c r="B34" s="10">
        <v>29</v>
      </c>
      <c r="C34" s="7" t="str">
        <f>Produtos!C34</f>
        <v>Produto / Serviço 29</v>
      </c>
      <c r="D34" s="7">
        <f>'Vendas (q)'!D34</f>
        <v>0</v>
      </c>
      <c r="E34" s="17">
        <f>Produtos!H34</f>
        <v>0</v>
      </c>
      <c r="F34" s="17">
        <f t="shared" si="0"/>
        <v>0</v>
      </c>
    </row>
    <row r="35" spans="2:6" hidden="1" x14ac:dyDescent="0.3">
      <c r="B35" s="10">
        <v>30</v>
      </c>
      <c r="C35" s="7" t="str">
        <f>Produtos!C35</f>
        <v>Produto / Serviço 30</v>
      </c>
      <c r="D35" s="7">
        <f>'Vendas (q)'!D35</f>
        <v>0</v>
      </c>
      <c r="E35" s="17">
        <f>Produtos!H35</f>
        <v>0</v>
      </c>
      <c r="F35" s="17">
        <f t="shared" si="0"/>
        <v>0</v>
      </c>
    </row>
    <row r="36" spans="2:6" hidden="1" x14ac:dyDescent="0.3">
      <c r="B36" s="10">
        <v>31</v>
      </c>
      <c r="C36" s="7" t="str">
        <f>Produtos!C36</f>
        <v>Produto / Serviço 31</v>
      </c>
      <c r="D36" s="7">
        <f>'Vendas (q)'!D36</f>
        <v>0</v>
      </c>
      <c r="E36" s="17">
        <f>Produtos!H36</f>
        <v>0</v>
      </c>
      <c r="F36" s="17">
        <f t="shared" si="0"/>
        <v>0</v>
      </c>
    </row>
    <row r="37" spans="2:6" hidden="1" x14ac:dyDescent="0.3">
      <c r="B37" s="10">
        <v>32</v>
      </c>
      <c r="C37" s="7" t="str">
        <f>Produtos!C37</f>
        <v>Produto / Serviço 32</v>
      </c>
      <c r="D37" s="7">
        <f>'Vendas (q)'!D37</f>
        <v>0</v>
      </c>
      <c r="E37" s="17">
        <f>Produtos!H37</f>
        <v>0</v>
      </c>
      <c r="F37" s="17">
        <f t="shared" si="0"/>
        <v>0</v>
      </c>
    </row>
    <row r="38" spans="2:6" hidden="1" x14ac:dyDescent="0.3">
      <c r="B38" s="10">
        <v>33</v>
      </c>
      <c r="C38" s="7" t="str">
        <f>Produtos!C38</f>
        <v>Produto / Serviço 33</v>
      </c>
      <c r="D38" s="7">
        <f>'Vendas (q)'!D38</f>
        <v>0</v>
      </c>
      <c r="E38" s="17">
        <f>Produtos!H38</f>
        <v>0</v>
      </c>
      <c r="F38" s="17">
        <f t="shared" si="0"/>
        <v>0</v>
      </c>
    </row>
    <row r="39" spans="2:6" hidden="1" x14ac:dyDescent="0.3">
      <c r="B39" s="10">
        <v>34</v>
      </c>
      <c r="C39" s="7" t="str">
        <f>Produtos!C39</f>
        <v>Produto / Serviço 34</v>
      </c>
      <c r="D39" s="7">
        <f>'Vendas (q)'!D39</f>
        <v>0</v>
      </c>
      <c r="E39" s="17">
        <f>Produtos!H39</f>
        <v>0</v>
      </c>
      <c r="F39" s="17">
        <f t="shared" si="0"/>
        <v>0</v>
      </c>
    </row>
    <row r="40" spans="2:6" ht="15" hidden="1" customHeight="1" x14ac:dyDescent="0.3">
      <c r="B40" s="10">
        <v>35</v>
      </c>
      <c r="C40" s="7" t="str">
        <f>Produtos!C40</f>
        <v>Produto / Serviço 35</v>
      </c>
      <c r="D40" s="7">
        <f>'Vendas (q)'!D40</f>
        <v>0</v>
      </c>
      <c r="E40" s="17">
        <f>Produtos!H40</f>
        <v>0</v>
      </c>
      <c r="F40" s="17">
        <f t="shared" si="0"/>
        <v>0</v>
      </c>
    </row>
    <row r="41" spans="2:6" hidden="1" x14ac:dyDescent="0.3">
      <c r="B41" s="10">
        <v>36</v>
      </c>
      <c r="C41" s="7" t="str">
        <f>Produtos!C41</f>
        <v>Produto / Serviço 36</v>
      </c>
      <c r="D41" s="7">
        <f>'Vendas (q)'!D41</f>
        <v>0</v>
      </c>
      <c r="E41" s="17">
        <f>Produtos!H41</f>
        <v>0</v>
      </c>
      <c r="F41" s="17">
        <f t="shared" si="0"/>
        <v>0</v>
      </c>
    </row>
    <row r="42" spans="2:6" hidden="1" x14ac:dyDescent="0.3">
      <c r="B42" s="10">
        <v>37</v>
      </c>
      <c r="C42" s="7" t="str">
        <f>Produtos!C42</f>
        <v>Produto / Serviço 37</v>
      </c>
      <c r="D42" s="7">
        <f>'Vendas (q)'!D42</f>
        <v>0</v>
      </c>
      <c r="E42" s="17">
        <f>Produtos!H42</f>
        <v>0</v>
      </c>
      <c r="F42" s="17">
        <f t="shared" si="0"/>
        <v>0</v>
      </c>
    </row>
    <row r="43" spans="2:6" hidden="1" x14ac:dyDescent="0.3">
      <c r="B43" s="10">
        <v>38</v>
      </c>
      <c r="C43" s="7" t="str">
        <f>Produtos!C43</f>
        <v>Produto / Serviço 38</v>
      </c>
      <c r="D43" s="7">
        <f>'Vendas (q)'!D43</f>
        <v>0</v>
      </c>
      <c r="E43" s="17">
        <f>Produtos!H43</f>
        <v>0</v>
      </c>
      <c r="F43" s="17">
        <f t="shared" si="0"/>
        <v>0</v>
      </c>
    </row>
    <row r="44" spans="2:6" hidden="1" x14ac:dyDescent="0.3">
      <c r="B44" s="10">
        <v>39</v>
      </c>
      <c r="C44" s="7" t="str">
        <f>Produtos!C44</f>
        <v>Produto / Serviço 39</v>
      </c>
      <c r="D44" s="7">
        <f>'Vendas (q)'!D44</f>
        <v>0</v>
      </c>
      <c r="E44" s="17">
        <f>Produtos!H44</f>
        <v>0</v>
      </c>
      <c r="F44" s="17">
        <f t="shared" si="0"/>
        <v>0</v>
      </c>
    </row>
    <row r="45" spans="2:6" hidden="1" x14ac:dyDescent="0.3">
      <c r="B45" s="10">
        <v>40</v>
      </c>
      <c r="C45" s="7" t="str">
        <f>Produtos!C45</f>
        <v>Produto / Serviço 40</v>
      </c>
      <c r="D45" s="7">
        <f>'Vendas (q)'!D45</f>
        <v>0</v>
      </c>
      <c r="E45" s="17">
        <f>Produtos!H45</f>
        <v>0</v>
      </c>
      <c r="F45" s="17">
        <f t="shared" si="0"/>
        <v>0</v>
      </c>
    </row>
    <row r="46" spans="2:6" hidden="1" x14ac:dyDescent="0.3">
      <c r="B46" s="10">
        <v>41</v>
      </c>
      <c r="C46" s="7" t="str">
        <f>Produtos!C46</f>
        <v>Produto / Serviço 41</v>
      </c>
      <c r="D46" s="7">
        <f>'Vendas (q)'!D46</f>
        <v>0</v>
      </c>
      <c r="E46" s="17">
        <f>Produtos!H46</f>
        <v>0</v>
      </c>
      <c r="F46" s="17">
        <f t="shared" si="0"/>
        <v>0</v>
      </c>
    </row>
    <row r="47" spans="2:6" hidden="1" x14ac:dyDescent="0.3">
      <c r="B47" s="10">
        <v>42</v>
      </c>
      <c r="C47" s="7" t="str">
        <f>Produtos!C47</f>
        <v>Produto / Serviço 42</v>
      </c>
      <c r="D47" s="7">
        <f>'Vendas (q)'!D47</f>
        <v>0</v>
      </c>
      <c r="E47" s="17">
        <f>Produtos!H47</f>
        <v>0</v>
      </c>
      <c r="F47" s="17">
        <f t="shared" si="0"/>
        <v>0</v>
      </c>
    </row>
    <row r="48" spans="2:6" hidden="1" x14ac:dyDescent="0.3">
      <c r="B48" s="10">
        <v>43</v>
      </c>
      <c r="C48" s="7" t="str">
        <f>Produtos!C48</f>
        <v>Produto / Serviço 43</v>
      </c>
      <c r="D48" s="7">
        <f>'Vendas (q)'!D48</f>
        <v>0</v>
      </c>
      <c r="E48" s="17">
        <f>Produtos!H48</f>
        <v>0</v>
      </c>
      <c r="F48" s="17">
        <f t="shared" si="0"/>
        <v>0</v>
      </c>
    </row>
    <row r="49" spans="2:6" hidden="1" x14ac:dyDescent="0.3">
      <c r="B49" s="10">
        <v>44</v>
      </c>
      <c r="C49" s="7" t="str">
        <f>Produtos!C49</f>
        <v>Produto / Serviço 44</v>
      </c>
      <c r="D49" s="7">
        <f>'Vendas (q)'!D49</f>
        <v>0</v>
      </c>
      <c r="E49" s="17">
        <f>Produtos!H49</f>
        <v>0</v>
      </c>
      <c r="F49" s="17">
        <f t="shared" si="0"/>
        <v>0</v>
      </c>
    </row>
    <row r="50" spans="2:6" hidden="1" x14ac:dyDescent="0.3">
      <c r="B50" s="10">
        <v>45</v>
      </c>
      <c r="C50" s="7" t="str">
        <f>Produtos!C50</f>
        <v>Produto / Serviço 45</v>
      </c>
      <c r="D50" s="7">
        <f>'Vendas (q)'!D50</f>
        <v>0</v>
      </c>
      <c r="E50" s="17">
        <f>Produtos!H50</f>
        <v>0</v>
      </c>
      <c r="F50" s="17">
        <f t="shared" si="0"/>
        <v>0</v>
      </c>
    </row>
    <row r="51" spans="2:6" ht="15" hidden="1" customHeight="1" x14ac:dyDescent="0.3">
      <c r="B51" s="10">
        <v>46</v>
      </c>
      <c r="C51" s="7" t="str">
        <f>Produtos!C51</f>
        <v>Produto / Serviço 46</v>
      </c>
      <c r="D51" s="7">
        <f>'Vendas (q)'!D51</f>
        <v>0</v>
      </c>
      <c r="E51" s="17">
        <f>Produtos!H51</f>
        <v>0</v>
      </c>
      <c r="F51" s="17">
        <f t="shared" si="0"/>
        <v>0</v>
      </c>
    </row>
    <row r="52" spans="2:6" hidden="1" x14ac:dyDescent="0.3">
      <c r="B52" s="10">
        <v>47</v>
      </c>
      <c r="C52" s="7" t="str">
        <f>Produtos!C52</f>
        <v>Produto / Serviço 47</v>
      </c>
      <c r="D52" s="7">
        <f>'Vendas (q)'!D52</f>
        <v>0</v>
      </c>
      <c r="E52" s="17">
        <f>Produtos!H52</f>
        <v>0</v>
      </c>
      <c r="F52" s="17">
        <f t="shared" si="0"/>
        <v>0</v>
      </c>
    </row>
    <row r="53" spans="2:6" hidden="1" x14ac:dyDescent="0.3">
      <c r="B53" s="10">
        <v>48</v>
      </c>
      <c r="C53" s="7" t="str">
        <f>Produtos!C53</f>
        <v>Produto / Serviço 48</v>
      </c>
      <c r="D53" s="7">
        <f>'Vendas (q)'!D53</f>
        <v>0</v>
      </c>
      <c r="E53" s="17">
        <f>Produtos!H53</f>
        <v>0</v>
      </c>
      <c r="F53" s="17">
        <f t="shared" si="0"/>
        <v>0</v>
      </c>
    </row>
    <row r="54" spans="2:6" hidden="1" x14ac:dyDescent="0.3">
      <c r="B54" s="10">
        <v>49</v>
      </c>
      <c r="C54" s="7" t="str">
        <f>Produtos!C54</f>
        <v>Produto / Serviço 49</v>
      </c>
      <c r="D54" s="7">
        <f>'Vendas (q)'!D54</f>
        <v>0</v>
      </c>
      <c r="E54" s="17">
        <f>Produtos!H54</f>
        <v>0</v>
      </c>
      <c r="F54" s="17">
        <f t="shared" si="0"/>
        <v>0</v>
      </c>
    </row>
    <row r="55" spans="2:6" ht="15" hidden="1" customHeight="1" x14ac:dyDescent="0.3">
      <c r="B55" s="10">
        <v>50</v>
      </c>
      <c r="C55" s="7" t="str">
        <f>Produtos!C55</f>
        <v>Produto / Serviço 50</v>
      </c>
      <c r="D55" s="7">
        <f>'Vendas (q)'!D55</f>
        <v>0</v>
      </c>
      <c r="E55" s="17">
        <f>Produtos!H55</f>
        <v>0</v>
      </c>
      <c r="F55" s="17">
        <f t="shared" si="0"/>
        <v>0</v>
      </c>
    </row>
    <row r="56" spans="2:6" x14ac:dyDescent="0.3">
      <c r="B56" s="18"/>
      <c r="C56" s="18" t="s">
        <v>2</v>
      </c>
      <c r="D56" s="18"/>
      <c r="E56" s="18"/>
      <c r="F56" s="62">
        <f t="shared" ref="F56" si="1">SUM(F6:F55)</f>
        <v>2003925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66"/>
  <sheetViews>
    <sheetView zoomScaleNormal="100" workbookViewId="0">
      <selection activeCell="A4" sqref="A4"/>
    </sheetView>
  </sheetViews>
  <sheetFormatPr defaultColWidth="9.109375" defaultRowHeight="14.4" x14ac:dyDescent="0.3"/>
  <cols>
    <col min="1" max="1" width="1.5546875" style="4" customWidth="1"/>
    <col min="2" max="2" width="3.5546875" style="4" bestFit="1" customWidth="1"/>
    <col min="3" max="3" width="19.109375" style="4" bestFit="1" customWidth="1"/>
    <col min="4" max="4" width="17.88671875" style="4" bestFit="1" customWidth="1"/>
    <col min="5" max="5" width="15.6640625" style="4" bestFit="1" customWidth="1"/>
    <col min="6" max="6" width="15.5546875" style="4" bestFit="1" customWidth="1"/>
    <col min="7" max="7" width="15.6640625" style="4" bestFit="1" customWidth="1"/>
    <col min="8" max="9" width="13.109375" style="21" bestFit="1" customWidth="1"/>
    <col min="10" max="10" width="15.6640625" style="21" bestFit="1" customWidth="1"/>
    <col min="11" max="16384" width="9.109375" style="4"/>
  </cols>
  <sheetData>
    <row r="1" spans="2:10" s="13" customFormat="1" x14ac:dyDescent="0.3">
      <c r="B1" s="13" t="s">
        <v>140</v>
      </c>
    </row>
    <row r="2" spans="2:10" s="13" customFormat="1" x14ac:dyDescent="0.3">
      <c r="B2" s="13" t="s">
        <v>141</v>
      </c>
    </row>
    <row r="3" spans="2:10" s="13" customFormat="1" x14ac:dyDescent="0.3"/>
    <row r="5" spans="2:10" x14ac:dyDescent="0.3">
      <c r="C5" s="25" t="s">
        <v>126</v>
      </c>
      <c r="D5" s="26">
        <v>0.01</v>
      </c>
    </row>
    <row r="6" spans="2:10" x14ac:dyDescent="0.3">
      <c r="C6" s="25" t="s">
        <v>81</v>
      </c>
      <c r="D6" s="26">
        <v>0.02</v>
      </c>
    </row>
    <row r="8" spans="2:10" ht="28.8" x14ac:dyDescent="0.3">
      <c r="B8" s="27" t="s">
        <v>37</v>
      </c>
      <c r="C8" s="27" t="s">
        <v>3</v>
      </c>
      <c r="D8" s="28" t="s">
        <v>115</v>
      </c>
      <c r="E8" s="29" t="s">
        <v>137</v>
      </c>
      <c r="F8" s="30" t="s">
        <v>138</v>
      </c>
      <c r="G8" s="31" t="s">
        <v>80</v>
      </c>
      <c r="H8" s="32" t="s">
        <v>126</v>
      </c>
      <c r="I8" s="32" t="s">
        <v>81</v>
      </c>
      <c r="J8" s="32" t="s">
        <v>96</v>
      </c>
    </row>
    <row r="9" spans="2:10" ht="15" customHeight="1" x14ac:dyDescent="0.3">
      <c r="B9" s="27">
        <v>1</v>
      </c>
      <c r="C9" s="7" t="str">
        <f>Produtos!C6</f>
        <v>Sistema 1 kWp</v>
      </c>
      <c r="D9" s="7">
        <f>'Vendas (q)'!D6</f>
        <v>1</v>
      </c>
      <c r="E9" s="8">
        <f>Produtos!E6</f>
        <v>4000</v>
      </c>
      <c r="F9" s="17">
        <f>Produtos!H6</f>
        <v>6000</v>
      </c>
      <c r="G9" s="17">
        <f>F9*D9</f>
        <v>6000</v>
      </c>
      <c r="H9" s="22">
        <f>G9*$D$5</f>
        <v>60</v>
      </c>
      <c r="I9" s="22">
        <f>G9*$D$6</f>
        <v>120</v>
      </c>
      <c r="J9" s="22">
        <f>E9*D9</f>
        <v>4000</v>
      </c>
    </row>
    <row r="10" spans="2:10" x14ac:dyDescent="0.3">
      <c r="B10" s="27">
        <v>2</v>
      </c>
      <c r="C10" s="7" t="str">
        <f>Produtos!C7</f>
        <v>Sistema 2 kWp</v>
      </c>
      <c r="D10" s="7">
        <f>'Vendas (q)'!D7</f>
        <v>1</v>
      </c>
      <c r="E10" s="8">
        <f>Produtos!E7</f>
        <v>8000</v>
      </c>
      <c r="F10" s="17">
        <f>Produtos!H7</f>
        <v>11700</v>
      </c>
      <c r="G10" s="17">
        <f t="shared" ref="G10:G58" si="0">F10*D10</f>
        <v>11700</v>
      </c>
      <c r="H10" s="22">
        <f t="shared" ref="H10:H58" si="1">G10*$D$5</f>
        <v>117</v>
      </c>
      <c r="I10" s="22">
        <f t="shared" ref="I10:I58" si="2">G10*$D$6</f>
        <v>234</v>
      </c>
      <c r="J10" s="22">
        <f t="shared" ref="J10:J58" si="3">E10*D10</f>
        <v>8000</v>
      </c>
    </row>
    <row r="11" spans="2:10" x14ac:dyDescent="0.3">
      <c r="B11" s="27">
        <v>3</v>
      </c>
      <c r="C11" s="7" t="str">
        <f>Produtos!C8</f>
        <v>Sistema 3 kWp</v>
      </c>
      <c r="D11" s="7">
        <f>'Vendas (q)'!D8</f>
        <v>1</v>
      </c>
      <c r="E11" s="8">
        <f>Produtos!E8</f>
        <v>12000</v>
      </c>
      <c r="F11" s="17">
        <f>Produtos!H8</f>
        <v>18000</v>
      </c>
      <c r="G11" s="17">
        <f t="shared" si="0"/>
        <v>18000</v>
      </c>
      <c r="H11" s="22">
        <f t="shared" si="1"/>
        <v>180</v>
      </c>
      <c r="I11" s="22">
        <f t="shared" si="2"/>
        <v>360</v>
      </c>
      <c r="J11" s="22">
        <f t="shared" si="3"/>
        <v>12000</v>
      </c>
    </row>
    <row r="12" spans="2:10" x14ac:dyDescent="0.3">
      <c r="B12" s="27">
        <v>4</v>
      </c>
      <c r="C12" s="7" t="str">
        <f>Produtos!C9</f>
        <v>Sistema 4 kWp</v>
      </c>
      <c r="D12" s="7">
        <f>'Vendas (q)'!D9</f>
        <v>1</v>
      </c>
      <c r="E12" s="8">
        <f>Produtos!E9</f>
        <v>16000</v>
      </c>
      <c r="F12" s="17">
        <f>Produtos!H9</f>
        <v>24000</v>
      </c>
      <c r="G12" s="17">
        <f t="shared" si="0"/>
        <v>24000</v>
      </c>
      <c r="H12" s="22">
        <f t="shared" si="1"/>
        <v>240</v>
      </c>
      <c r="I12" s="22">
        <f t="shared" si="2"/>
        <v>480</v>
      </c>
      <c r="J12" s="22">
        <f t="shared" si="3"/>
        <v>16000</v>
      </c>
    </row>
    <row r="13" spans="2:10" ht="15" customHeight="1" x14ac:dyDescent="0.3">
      <c r="B13" s="27">
        <v>5</v>
      </c>
      <c r="C13" s="7" t="str">
        <f>Produtos!C10</f>
        <v>Sistema 5 kWp</v>
      </c>
      <c r="D13" s="7">
        <f>'Vendas (q)'!D10</f>
        <v>1</v>
      </c>
      <c r="E13" s="8">
        <f>Produtos!E10</f>
        <v>20000</v>
      </c>
      <c r="F13" s="17">
        <f>Produtos!H10</f>
        <v>29000</v>
      </c>
      <c r="G13" s="17">
        <f t="shared" si="0"/>
        <v>29000</v>
      </c>
      <c r="H13" s="22">
        <f t="shared" si="1"/>
        <v>290</v>
      </c>
      <c r="I13" s="22">
        <f t="shared" si="2"/>
        <v>580</v>
      </c>
      <c r="J13" s="22">
        <f t="shared" si="3"/>
        <v>20000</v>
      </c>
    </row>
    <row r="14" spans="2:10" x14ac:dyDescent="0.3">
      <c r="B14" s="27">
        <v>6</v>
      </c>
      <c r="C14" s="7" t="str">
        <f>Produtos!C11</f>
        <v>Sistema 10 kWp</v>
      </c>
      <c r="D14" s="7">
        <f>'Vendas (q)'!D11</f>
        <v>0.5</v>
      </c>
      <c r="E14" s="8">
        <f>Produtos!E11</f>
        <v>40000</v>
      </c>
      <c r="F14" s="17">
        <f>Produtos!H11</f>
        <v>55600</v>
      </c>
      <c r="G14" s="17">
        <f t="shared" si="0"/>
        <v>27800</v>
      </c>
      <c r="H14" s="22">
        <f t="shared" si="1"/>
        <v>278</v>
      </c>
      <c r="I14" s="22">
        <f t="shared" si="2"/>
        <v>556</v>
      </c>
      <c r="J14" s="22">
        <f t="shared" si="3"/>
        <v>20000</v>
      </c>
    </row>
    <row r="15" spans="2:10" x14ac:dyDescent="0.3">
      <c r="B15" s="27">
        <v>7</v>
      </c>
      <c r="C15" s="7" t="str">
        <f>Produtos!C12</f>
        <v>Sistema 15 kWp</v>
      </c>
      <c r="D15" s="7">
        <f>'Vendas (q)'!D12</f>
        <v>0.5</v>
      </c>
      <c r="E15" s="8">
        <f>Produtos!E12</f>
        <v>60000</v>
      </c>
      <c r="F15" s="17">
        <f>Produtos!H12</f>
        <v>83400</v>
      </c>
      <c r="G15" s="17">
        <f t="shared" si="0"/>
        <v>41700</v>
      </c>
      <c r="H15" s="22">
        <f t="shared" si="1"/>
        <v>417</v>
      </c>
      <c r="I15" s="22">
        <f t="shared" si="2"/>
        <v>834</v>
      </c>
      <c r="J15" s="22">
        <f t="shared" si="3"/>
        <v>30000</v>
      </c>
    </row>
    <row r="16" spans="2:10" x14ac:dyDescent="0.3">
      <c r="B16" s="27">
        <v>8</v>
      </c>
      <c r="C16" s="7" t="str">
        <f>Produtos!C13</f>
        <v>Sistema 20 kWp</v>
      </c>
      <c r="D16" s="7">
        <f>'Vendas (q)'!D13</f>
        <v>0.5</v>
      </c>
      <c r="E16" s="8">
        <f>Produtos!E13</f>
        <v>80000</v>
      </c>
      <c r="F16" s="17">
        <f>Produtos!H13</f>
        <v>111200</v>
      </c>
      <c r="G16" s="17">
        <f t="shared" si="0"/>
        <v>55600</v>
      </c>
      <c r="H16" s="22">
        <f t="shared" si="1"/>
        <v>556</v>
      </c>
      <c r="I16" s="22">
        <f t="shared" si="2"/>
        <v>1112</v>
      </c>
      <c r="J16" s="22">
        <f t="shared" si="3"/>
        <v>40000</v>
      </c>
    </row>
    <row r="17" spans="2:10" x14ac:dyDescent="0.3">
      <c r="B17" s="27">
        <v>9</v>
      </c>
      <c r="C17" s="7" t="str">
        <f>Produtos!C14</f>
        <v>Sistema 30 kWp</v>
      </c>
      <c r="D17" s="7">
        <f>'Vendas (q)'!D14</f>
        <v>0.5</v>
      </c>
      <c r="E17" s="8">
        <f>Produtos!E14</f>
        <v>120000</v>
      </c>
      <c r="F17" s="17">
        <f>Produtos!H14</f>
        <v>165000</v>
      </c>
      <c r="G17" s="17">
        <f t="shared" si="0"/>
        <v>82500</v>
      </c>
      <c r="H17" s="22">
        <f t="shared" si="1"/>
        <v>825</v>
      </c>
      <c r="I17" s="22">
        <f t="shared" si="2"/>
        <v>1650</v>
      </c>
      <c r="J17" s="22">
        <f t="shared" si="3"/>
        <v>60000</v>
      </c>
    </row>
    <row r="18" spans="2:10" x14ac:dyDescent="0.3">
      <c r="B18" s="27">
        <v>10</v>
      </c>
      <c r="C18" s="7" t="str">
        <f>Produtos!C15</f>
        <v>Sistema 40 kWp</v>
      </c>
      <c r="D18" s="7">
        <f>'Vendas (q)'!D15</f>
        <v>0.25</v>
      </c>
      <c r="E18" s="8">
        <f>Produtos!E15</f>
        <v>160000</v>
      </c>
      <c r="F18" s="17">
        <f>Produtos!H15</f>
        <v>218800</v>
      </c>
      <c r="G18" s="17">
        <f t="shared" si="0"/>
        <v>54700</v>
      </c>
      <c r="H18" s="22">
        <f t="shared" si="1"/>
        <v>547</v>
      </c>
      <c r="I18" s="22">
        <f t="shared" si="2"/>
        <v>1094</v>
      </c>
      <c r="J18" s="22">
        <f t="shared" si="3"/>
        <v>40000</v>
      </c>
    </row>
    <row r="19" spans="2:10" x14ac:dyDescent="0.3">
      <c r="B19" s="27">
        <v>11</v>
      </c>
      <c r="C19" s="7" t="str">
        <f>Produtos!C16</f>
        <v>Sistema 50 kWp</v>
      </c>
      <c r="D19" s="7">
        <f>'Vendas (q)'!D16</f>
        <v>0.25</v>
      </c>
      <c r="E19" s="8">
        <f>Produtos!E16</f>
        <v>200000</v>
      </c>
      <c r="F19" s="17">
        <f>Produtos!H16</f>
        <v>262600</v>
      </c>
      <c r="G19" s="17">
        <f t="shared" si="0"/>
        <v>65650</v>
      </c>
      <c r="H19" s="22">
        <f t="shared" si="1"/>
        <v>656.5</v>
      </c>
      <c r="I19" s="22">
        <f t="shared" si="2"/>
        <v>1313</v>
      </c>
      <c r="J19" s="22">
        <f t="shared" si="3"/>
        <v>50000</v>
      </c>
    </row>
    <row r="20" spans="2:10" x14ac:dyDescent="0.3">
      <c r="B20" s="27">
        <v>12</v>
      </c>
      <c r="C20" s="7" t="str">
        <f>Produtos!C17</f>
        <v>Sistema 100 kWp</v>
      </c>
      <c r="D20" s="7">
        <f>'Vendas (q)'!D17</f>
        <v>0.25</v>
      </c>
      <c r="E20" s="8">
        <f>Produtos!E17</f>
        <v>400000</v>
      </c>
      <c r="F20" s="17">
        <f>Produtos!H17</f>
        <v>510000</v>
      </c>
      <c r="G20" s="17">
        <f t="shared" si="0"/>
        <v>127500</v>
      </c>
      <c r="H20" s="22">
        <f t="shared" si="1"/>
        <v>1275</v>
      </c>
      <c r="I20" s="22">
        <f t="shared" si="2"/>
        <v>2550</v>
      </c>
      <c r="J20" s="22">
        <f t="shared" si="3"/>
        <v>100000</v>
      </c>
    </row>
    <row r="21" spans="2:10" ht="15" customHeight="1" x14ac:dyDescent="0.3">
      <c r="B21" s="27">
        <v>13</v>
      </c>
      <c r="C21" s="7" t="str">
        <f>Produtos!C18</f>
        <v>Sistema 200 kWp</v>
      </c>
      <c r="D21" s="7">
        <f>'Vendas (q)'!D18</f>
        <v>0.25</v>
      </c>
      <c r="E21" s="8">
        <f>Produtos!E18</f>
        <v>800000</v>
      </c>
      <c r="F21" s="17">
        <f>Produtos!H18</f>
        <v>1020000</v>
      </c>
      <c r="G21" s="17">
        <f t="shared" si="0"/>
        <v>255000</v>
      </c>
      <c r="H21" s="22">
        <f t="shared" si="1"/>
        <v>2550</v>
      </c>
      <c r="I21" s="22">
        <f t="shared" si="2"/>
        <v>5100</v>
      </c>
      <c r="J21" s="22">
        <f t="shared" si="3"/>
        <v>200000</v>
      </c>
    </row>
    <row r="22" spans="2:10" x14ac:dyDescent="0.3">
      <c r="B22" s="27">
        <v>14</v>
      </c>
      <c r="C22" s="7" t="str">
        <f>Produtos!C19</f>
        <v>Sistema 300 kWp</v>
      </c>
      <c r="D22" s="7">
        <f>'Vendas (q)'!D19</f>
        <v>0.2</v>
      </c>
      <c r="E22" s="8">
        <f>Produtos!E19</f>
        <v>1200000</v>
      </c>
      <c r="F22" s="17">
        <f>Produtos!H19</f>
        <v>1521000</v>
      </c>
      <c r="G22" s="17">
        <f t="shared" si="0"/>
        <v>304200</v>
      </c>
      <c r="H22" s="22">
        <f t="shared" si="1"/>
        <v>3042</v>
      </c>
      <c r="I22" s="22">
        <f t="shared" si="2"/>
        <v>6084</v>
      </c>
      <c r="J22" s="22">
        <f t="shared" si="3"/>
        <v>240000</v>
      </c>
    </row>
    <row r="23" spans="2:10" x14ac:dyDescent="0.3">
      <c r="B23" s="27">
        <v>15</v>
      </c>
      <c r="C23" s="7" t="str">
        <f>Produtos!C20</f>
        <v>Sistema 400 kWp</v>
      </c>
      <c r="D23" s="7">
        <f>'Vendas (q)'!D20</f>
        <v>0.2</v>
      </c>
      <c r="E23" s="8">
        <f>Produtos!E20</f>
        <v>1600000</v>
      </c>
      <c r="F23" s="17">
        <f>Produtos!H20</f>
        <v>2016000</v>
      </c>
      <c r="G23" s="17">
        <f t="shared" si="0"/>
        <v>403200</v>
      </c>
      <c r="H23" s="22">
        <f t="shared" si="1"/>
        <v>4032</v>
      </c>
      <c r="I23" s="22">
        <f t="shared" si="2"/>
        <v>8064</v>
      </c>
      <c r="J23" s="22">
        <f t="shared" si="3"/>
        <v>320000</v>
      </c>
    </row>
    <row r="24" spans="2:10" x14ac:dyDescent="0.3">
      <c r="B24" s="27">
        <v>16</v>
      </c>
      <c r="C24" s="7" t="str">
        <f>Produtos!C21</f>
        <v>Sistema 500 kWp</v>
      </c>
      <c r="D24" s="7">
        <f>'Vendas (q)'!D21</f>
        <v>0.2</v>
      </c>
      <c r="E24" s="8">
        <f>Produtos!E21</f>
        <v>2000000</v>
      </c>
      <c r="F24" s="17">
        <f>Produtos!H21</f>
        <v>2405000</v>
      </c>
      <c r="G24" s="17">
        <f t="shared" si="0"/>
        <v>481000</v>
      </c>
      <c r="H24" s="22">
        <f t="shared" si="1"/>
        <v>4810</v>
      </c>
      <c r="I24" s="22">
        <f t="shared" si="2"/>
        <v>9620</v>
      </c>
      <c r="J24" s="22">
        <f t="shared" si="3"/>
        <v>400000</v>
      </c>
    </row>
    <row r="25" spans="2:10" x14ac:dyDescent="0.3">
      <c r="B25" s="27">
        <v>17</v>
      </c>
      <c r="C25" s="7" t="str">
        <f>Produtos!C22</f>
        <v>Limpeza de paineis</v>
      </c>
      <c r="D25" s="7">
        <f>'Vendas (q)'!D22</f>
        <v>5</v>
      </c>
      <c r="E25" s="8">
        <f>Produtos!E22</f>
        <v>50</v>
      </c>
      <c r="F25" s="17">
        <f>Produtos!H22</f>
        <v>275</v>
      </c>
      <c r="G25" s="17">
        <f t="shared" si="0"/>
        <v>1375</v>
      </c>
      <c r="H25" s="22">
        <f t="shared" si="1"/>
        <v>13.75</v>
      </c>
      <c r="I25" s="22">
        <f t="shared" si="2"/>
        <v>27.5</v>
      </c>
      <c r="J25" s="22">
        <f t="shared" si="3"/>
        <v>250</v>
      </c>
    </row>
    <row r="26" spans="2:10" x14ac:dyDescent="0.3">
      <c r="B26" s="27">
        <v>18</v>
      </c>
      <c r="C26" s="7" t="str">
        <f>Produtos!C23</f>
        <v>Projeto pequeno porte</v>
      </c>
      <c r="D26" s="7">
        <f>'Vendas (q)'!D23</f>
        <v>4</v>
      </c>
      <c r="E26" s="8">
        <f>Produtos!E23</f>
        <v>0</v>
      </c>
      <c r="F26" s="17">
        <f>Produtos!H23</f>
        <v>1000</v>
      </c>
      <c r="G26" s="17">
        <f t="shared" si="0"/>
        <v>4000</v>
      </c>
      <c r="H26" s="22">
        <f t="shared" si="1"/>
        <v>40</v>
      </c>
      <c r="I26" s="22">
        <f t="shared" si="2"/>
        <v>80</v>
      </c>
      <c r="J26" s="22">
        <f t="shared" si="3"/>
        <v>0</v>
      </c>
    </row>
    <row r="27" spans="2:10" x14ac:dyDescent="0.3">
      <c r="B27" s="27">
        <v>19</v>
      </c>
      <c r="C27" s="7" t="str">
        <f>Produtos!C24</f>
        <v>Projeto médio porte</v>
      </c>
      <c r="D27" s="7">
        <f>'Vendas (q)'!D24</f>
        <v>2</v>
      </c>
      <c r="E27" s="8">
        <f>Produtos!E24</f>
        <v>0</v>
      </c>
      <c r="F27" s="17">
        <f>Produtos!H24</f>
        <v>3000</v>
      </c>
      <c r="G27" s="17">
        <f t="shared" si="0"/>
        <v>6000</v>
      </c>
      <c r="H27" s="22">
        <f t="shared" si="1"/>
        <v>60</v>
      </c>
      <c r="I27" s="22">
        <f t="shared" si="2"/>
        <v>120</v>
      </c>
      <c r="J27" s="22">
        <f t="shared" si="3"/>
        <v>0</v>
      </c>
    </row>
    <row r="28" spans="2:10" x14ac:dyDescent="0.3">
      <c r="B28" s="27">
        <v>20</v>
      </c>
      <c r="C28" s="7" t="str">
        <f>Produtos!C25</f>
        <v>Projeto grande porte</v>
      </c>
      <c r="D28" s="7">
        <f>'Vendas (q)'!D25</f>
        <v>1</v>
      </c>
      <c r="E28" s="8">
        <f>Produtos!E25</f>
        <v>0</v>
      </c>
      <c r="F28" s="17">
        <f>Produtos!H25</f>
        <v>5000</v>
      </c>
      <c r="G28" s="17">
        <f t="shared" si="0"/>
        <v>5000</v>
      </c>
      <c r="H28" s="22">
        <f t="shared" si="1"/>
        <v>50</v>
      </c>
      <c r="I28" s="22">
        <f t="shared" si="2"/>
        <v>100</v>
      </c>
      <c r="J28" s="22">
        <f t="shared" si="3"/>
        <v>0</v>
      </c>
    </row>
    <row r="29" spans="2:10" hidden="1" x14ac:dyDescent="0.3">
      <c r="B29" s="27">
        <v>21</v>
      </c>
      <c r="C29" s="7" t="str">
        <f>Produtos!C26</f>
        <v>Produto / Serviço 21</v>
      </c>
      <c r="D29" s="7">
        <f>'Vendas (q)'!D26</f>
        <v>0</v>
      </c>
      <c r="E29" s="8">
        <f>Produtos!E26</f>
        <v>0</v>
      </c>
      <c r="F29" s="17">
        <f>Produtos!H26</f>
        <v>0</v>
      </c>
      <c r="G29" s="17">
        <f t="shared" si="0"/>
        <v>0</v>
      </c>
      <c r="H29" s="22">
        <f t="shared" si="1"/>
        <v>0</v>
      </c>
      <c r="I29" s="22">
        <f t="shared" si="2"/>
        <v>0</v>
      </c>
      <c r="J29" s="22">
        <f t="shared" si="3"/>
        <v>0</v>
      </c>
    </row>
    <row r="30" spans="2:10" hidden="1" x14ac:dyDescent="0.3">
      <c r="B30" s="27">
        <v>22</v>
      </c>
      <c r="C30" s="7" t="str">
        <f>Produtos!C27</f>
        <v>Produto / Serviço 22</v>
      </c>
      <c r="D30" s="7">
        <f>'Vendas (q)'!D27</f>
        <v>0</v>
      </c>
      <c r="E30" s="8">
        <f>Produtos!E27</f>
        <v>0</v>
      </c>
      <c r="F30" s="17">
        <f>Produtos!H27</f>
        <v>0</v>
      </c>
      <c r="G30" s="17">
        <f t="shared" si="0"/>
        <v>0</v>
      </c>
      <c r="H30" s="22">
        <f t="shared" si="1"/>
        <v>0</v>
      </c>
      <c r="I30" s="22">
        <f t="shared" si="2"/>
        <v>0</v>
      </c>
      <c r="J30" s="22">
        <f t="shared" si="3"/>
        <v>0</v>
      </c>
    </row>
    <row r="31" spans="2:10" ht="15" hidden="1" customHeight="1" x14ac:dyDescent="0.3">
      <c r="B31" s="27">
        <v>23</v>
      </c>
      <c r="C31" s="7" t="str">
        <f>Produtos!C28</f>
        <v>Produto / Serviço 23</v>
      </c>
      <c r="D31" s="7">
        <f>'Vendas (q)'!D28</f>
        <v>0</v>
      </c>
      <c r="E31" s="8">
        <f>Produtos!E28</f>
        <v>0</v>
      </c>
      <c r="F31" s="17">
        <f>Produtos!H28</f>
        <v>0</v>
      </c>
      <c r="G31" s="17">
        <f t="shared" si="0"/>
        <v>0</v>
      </c>
      <c r="H31" s="22">
        <f t="shared" si="1"/>
        <v>0</v>
      </c>
      <c r="I31" s="22">
        <f t="shared" si="2"/>
        <v>0</v>
      </c>
      <c r="J31" s="22">
        <f t="shared" si="3"/>
        <v>0</v>
      </c>
    </row>
    <row r="32" spans="2:10" hidden="1" x14ac:dyDescent="0.3">
      <c r="B32" s="27">
        <v>24</v>
      </c>
      <c r="C32" s="7" t="str">
        <f>Produtos!C29</f>
        <v>Produto / Serviço 24</v>
      </c>
      <c r="D32" s="7">
        <f>'Vendas (q)'!D29</f>
        <v>0</v>
      </c>
      <c r="E32" s="8">
        <f>Produtos!E29</f>
        <v>0</v>
      </c>
      <c r="F32" s="17">
        <f>Produtos!H29</f>
        <v>0</v>
      </c>
      <c r="G32" s="17">
        <f t="shared" si="0"/>
        <v>0</v>
      </c>
      <c r="H32" s="22">
        <f t="shared" si="1"/>
        <v>0</v>
      </c>
      <c r="I32" s="22">
        <f t="shared" si="2"/>
        <v>0</v>
      </c>
      <c r="J32" s="22">
        <f t="shared" si="3"/>
        <v>0</v>
      </c>
    </row>
    <row r="33" spans="2:10" hidden="1" x14ac:dyDescent="0.3">
      <c r="B33" s="27">
        <v>25</v>
      </c>
      <c r="C33" s="7" t="str">
        <f>Produtos!C30</f>
        <v>Produto / Serviço 25</v>
      </c>
      <c r="D33" s="7">
        <f>'Vendas (q)'!D30</f>
        <v>0</v>
      </c>
      <c r="E33" s="8">
        <f>Produtos!E30</f>
        <v>0</v>
      </c>
      <c r="F33" s="17">
        <f>Produtos!H30</f>
        <v>0</v>
      </c>
      <c r="G33" s="17">
        <f t="shared" si="0"/>
        <v>0</v>
      </c>
      <c r="H33" s="22">
        <f t="shared" si="1"/>
        <v>0</v>
      </c>
      <c r="I33" s="22">
        <f t="shared" si="2"/>
        <v>0</v>
      </c>
      <c r="J33" s="22">
        <f t="shared" si="3"/>
        <v>0</v>
      </c>
    </row>
    <row r="34" spans="2:10" hidden="1" x14ac:dyDescent="0.3">
      <c r="B34" s="27">
        <v>26</v>
      </c>
      <c r="C34" s="7" t="str">
        <f>Produtos!C31</f>
        <v>Produto / Serviço 26</v>
      </c>
      <c r="D34" s="7">
        <f>'Vendas (q)'!D31</f>
        <v>0</v>
      </c>
      <c r="E34" s="8">
        <f>Produtos!E31</f>
        <v>0</v>
      </c>
      <c r="F34" s="17">
        <f>Produtos!H31</f>
        <v>0</v>
      </c>
      <c r="G34" s="17">
        <f t="shared" si="0"/>
        <v>0</v>
      </c>
      <c r="H34" s="22">
        <f t="shared" si="1"/>
        <v>0</v>
      </c>
      <c r="I34" s="22">
        <f t="shared" si="2"/>
        <v>0</v>
      </c>
      <c r="J34" s="22">
        <f t="shared" si="3"/>
        <v>0</v>
      </c>
    </row>
    <row r="35" spans="2:10" ht="15" hidden="1" customHeight="1" x14ac:dyDescent="0.3">
      <c r="B35" s="27">
        <v>27</v>
      </c>
      <c r="C35" s="7" t="str">
        <f>Produtos!C32</f>
        <v>Produto / Serviço 27</v>
      </c>
      <c r="D35" s="7">
        <f>'Vendas (q)'!D32</f>
        <v>0</v>
      </c>
      <c r="E35" s="8">
        <f>Produtos!E32</f>
        <v>0</v>
      </c>
      <c r="F35" s="17">
        <f>Produtos!H32</f>
        <v>0</v>
      </c>
      <c r="G35" s="17">
        <f t="shared" si="0"/>
        <v>0</v>
      </c>
      <c r="H35" s="22">
        <f t="shared" si="1"/>
        <v>0</v>
      </c>
      <c r="I35" s="22">
        <f t="shared" si="2"/>
        <v>0</v>
      </c>
      <c r="J35" s="22">
        <f t="shared" si="3"/>
        <v>0</v>
      </c>
    </row>
    <row r="36" spans="2:10" hidden="1" x14ac:dyDescent="0.3">
      <c r="B36" s="27">
        <v>28</v>
      </c>
      <c r="C36" s="7" t="str">
        <f>Produtos!C33</f>
        <v>Produto / Serviço 28</v>
      </c>
      <c r="D36" s="7">
        <f>'Vendas (q)'!D33</f>
        <v>0</v>
      </c>
      <c r="E36" s="8">
        <f>Produtos!E33</f>
        <v>0</v>
      </c>
      <c r="F36" s="17">
        <f>Produtos!H33</f>
        <v>0</v>
      </c>
      <c r="G36" s="17">
        <f t="shared" si="0"/>
        <v>0</v>
      </c>
      <c r="H36" s="22">
        <f t="shared" si="1"/>
        <v>0</v>
      </c>
      <c r="I36" s="22">
        <f t="shared" si="2"/>
        <v>0</v>
      </c>
      <c r="J36" s="22">
        <f t="shared" si="3"/>
        <v>0</v>
      </c>
    </row>
    <row r="37" spans="2:10" hidden="1" x14ac:dyDescent="0.3">
      <c r="B37" s="27">
        <v>29</v>
      </c>
      <c r="C37" s="7" t="str">
        <f>Produtos!C34</f>
        <v>Produto / Serviço 29</v>
      </c>
      <c r="D37" s="7">
        <f>'Vendas (q)'!D34</f>
        <v>0</v>
      </c>
      <c r="E37" s="8">
        <f>Produtos!E34</f>
        <v>0</v>
      </c>
      <c r="F37" s="17">
        <f>Produtos!H34</f>
        <v>0</v>
      </c>
      <c r="G37" s="17">
        <f t="shared" si="0"/>
        <v>0</v>
      </c>
      <c r="H37" s="22">
        <f t="shared" si="1"/>
        <v>0</v>
      </c>
      <c r="I37" s="22">
        <f t="shared" si="2"/>
        <v>0</v>
      </c>
      <c r="J37" s="22">
        <f t="shared" si="3"/>
        <v>0</v>
      </c>
    </row>
    <row r="38" spans="2:10" hidden="1" x14ac:dyDescent="0.3">
      <c r="B38" s="27">
        <v>30</v>
      </c>
      <c r="C38" s="7" t="str">
        <f>Produtos!C35</f>
        <v>Produto / Serviço 30</v>
      </c>
      <c r="D38" s="7">
        <f>'Vendas (q)'!D35</f>
        <v>0</v>
      </c>
      <c r="E38" s="8">
        <f>Produtos!E35</f>
        <v>0</v>
      </c>
      <c r="F38" s="17">
        <f>Produtos!H35</f>
        <v>0</v>
      </c>
      <c r="G38" s="17">
        <f t="shared" si="0"/>
        <v>0</v>
      </c>
      <c r="H38" s="22">
        <f t="shared" si="1"/>
        <v>0</v>
      </c>
      <c r="I38" s="22">
        <f t="shared" si="2"/>
        <v>0</v>
      </c>
      <c r="J38" s="22">
        <f t="shared" si="3"/>
        <v>0</v>
      </c>
    </row>
    <row r="39" spans="2:10" hidden="1" x14ac:dyDescent="0.3">
      <c r="B39" s="27">
        <v>31</v>
      </c>
      <c r="C39" s="7" t="str">
        <f>Produtos!C36</f>
        <v>Produto / Serviço 31</v>
      </c>
      <c r="D39" s="7">
        <f>'Vendas (q)'!D36</f>
        <v>0</v>
      </c>
      <c r="E39" s="8">
        <f>Produtos!E36</f>
        <v>0</v>
      </c>
      <c r="F39" s="17">
        <f>Produtos!H36</f>
        <v>0</v>
      </c>
      <c r="G39" s="17">
        <f t="shared" si="0"/>
        <v>0</v>
      </c>
      <c r="H39" s="22">
        <f t="shared" si="1"/>
        <v>0</v>
      </c>
      <c r="I39" s="22">
        <f t="shared" si="2"/>
        <v>0</v>
      </c>
      <c r="J39" s="22">
        <f t="shared" si="3"/>
        <v>0</v>
      </c>
    </row>
    <row r="40" spans="2:10" hidden="1" x14ac:dyDescent="0.3">
      <c r="B40" s="27">
        <v>32</v>
      </c>
      <c r="C40" s="7" t="str">
        <f>Produtos!C37</f>
        <v>Produto / Serviço 32</v>
      </c>
      <c r="D40" s="7">
        <f>'Vendas (q)'!D37</f>
        <v>0</v>
      </c>
      <c r="E40" s="8">
        <f>Produtos!E37</f>
        <v>0</v>
      </c>
      <c r="F40" s="17">
        <f>Produtos!H37</f>
        <v>0</v>
      </c>
      <c r="G40" s="17">
        <f t="shared" si="0"/>
        <v>0</v>
      </c>
      <c r="H40" s="22">
        <f t="shared" si="1"/>
        <v>0</v>
      </c>
      <c r="I40" s="22">
        <f t="shared" si="2"/>
        <v>0</v>
      </c>
      <c r="J40" s="22">
        <f t="shared" si="3"/>
        <v>0</v>
      </c>
    </row>
    <row r="41" spans="2:10" hidden="1" x14ac:dyDescent="0.3">
      <c r="B41" s="27">
        <v>33</v>
      </c>
      <c r="C41" s="7" t="str">
        <f>Produtos!C38</f>
        <v>Produto / Serviço 33</v>
      </c>
      <c r="D41" s="7">
        <f>'Vendas (q)'!D38</f>
        <v>0</v>
      </c>
      <c r="E41" s="8">
        <f>Produtos!E38</f>
        <v>0</v>
      </c>
      <c r="F41" s="17">
        <f>Produtos!H38</f>
        <v>0</v>
      </c>
      <c r="G41" s="17">
        <f t="shared" si="0"/>
        <v>0</v>
      </c>
      <c r="H41" s="22">
        <f t="shared" si="1"/>
        <v>0</v>
      </c>
      <c r="I41" s="22">
        <f t="shared" si="2"/>
        <v>0</v>
      </c>
      <c r="J41" s="22">
        <f t="shared" si="3"/>
        <v>0</v>
      </c>
    </row>
    <row r="42" spans="2:10" hidden="1" x14ac:dyDescent="0.3">
      <c r="B42" s="27">
        <v>34</v>
      </c>
      <c r="C42" s="7" t="str">
        <f>Produtos!C39</f>
        <v>Produto / Serviço 34</v>
      </c>
      <c r="D42" s="7">
        <f>'Vendas (q)'!D39</f>
        <v>0</v>
      </c>
      <c r="E42" s="8">
        <f>Produtos!E39</f>
        <v>0</v>
      </c>
      <c r="F42" s="17">
        <f>Produtos!H39</f>
        <v>0</v>
      </c>
      <c r="G42" s="17">
        <f t="shared" si="0"/>
        <v>0</v>
      </c>
      <c r="H42" s="22">
        <f t="shared" si="1"/>
        <v>0</v>
      </c>
      <c r="I42" s="22">
        <f t="shared" si="2"/>
        <v>0</v>
      </c>
      <c r="J42" s="22">
        <f t="shared" si="3"/>
        <v>0</v>
      </c>
    </row>
    <row r="43" spans="2:10" ht="15" hidden="1" customHeight="1" x14ac:dyDescent="0.3">
      <c r="B43" s="27">
        <v>35</v>
      </c>
      <c r="C43" s="7" t="str">
        <f>Produtos!C40</f>
        <v>Produto / Serviço 35</v>
      </c>
      <c r="D43" s="7">
        <f>'Vendas (q)'!D40</f>
        <v>0</v>
      </c>
      <c r="E43" s="8">
        <f>Produtos!E40</f>
        <v>0</v>
      </c>
      <c r="F43" s="17">
        <f>Produtos!H40</f>
        <v>0</v>
      </c>
      <c r="G43" s="17">
        <f t="shared" si="0"/>
        <v>0</v>
      </c>
      <c r="H43" s="22">
        <f t="shared" si="1"/>
        <v>0</v>
      </c>
      <c r="I43" s="22">
        <f t="shared" si="2"/>
        <v>0</v>
      </c>
      <c r="J43" s="22">
        <f t="shared" si="3"/>
        <v>0</v>
      </c>
    </row>
    <row r="44" spans="2:10" hidden="1" x14ac:dyDescent="0.3">
      <c r="B44" s="27">
        <v>36</v>
      </c>
      <c r="C44" s="7" t="str">
        <f>Produtos!C41</f>
        <v>Produto / Serviço 36</v>
      </c>
      <c r="D44" s="7">
        <f>'Vendas (q)'!D41</f>
        <v>0</v>
      </c>
      <c r="E44" s="8">
        <f>Produtos!E41</f>
        <v>0</v>
      </c>
      <c r="F44" s="17">
        <f>Produtos!H41</f>
        <v>0</v>
      </c>
      <c r="G44" s="17">
        <f t="shared" si="0"/>
        <v>0</v>
      </c>
      <c r="H44" s="22">
        <f t="shared" si="1"/>
        <v>0</v>
      </c>
      <c r="I44" s="22">
        <f t="shared" si="2"/>
        <v>0</v>
      </c>
      <c r="J44" s="22">
        <f t="shared" si="3"/>
        <v>0</v>
      </c>
    </row>
    <row r="45" spans="2:10" hidden="1" x14ac:dyDescent="0.3">
      <c r="B45" s="27">
        <v>37</v>
      </c>
      <c r="C45" s="7" t="str">
        <f>Produtos!C42</f>
        <v>Produto / Serviço 37</v>
      </c>
      <c r="D45" s="7">
        <f>'Vendas (q)'!D42</f>
        <v>0</v>
      </c>
      <c r="E45" s="8">
        <f>Produtos!E42</f>
        <v>0</v>
      </c>
      <c r="F45" s="17">
        <f>Produtos!H42</f>
        <v>0</v>
      </c>
      <c r="G45" s="17">
        <f t="shared" si="0"/>
        <v>0</v>
      </c>
      <c r="H45" s="22">
        <f t="shared" si="1"/>
        <v>0</v>
      </c>
      <c r="I45" s="22">
        <f t="shared" si="2"/>
        <v>0</v>
      </c>
      <c r="J45" s="22">
        <f t="shared" si="3"/>
        <v>0</v>
      </c>
    </row>
    <row r="46" spans="2:10" hidden="1" x14ac:dyDescent="0.3">
      <c r="B46" s="27">
        <v>38</v>
      </c>
      <c r="C46" s="7" t="str">
        <f>Produtos!C43</f>
        <v>Produto / Serviço 38</v>
      </c>
      <c r="D46" s="7">
        <f>'Vendas (q)'!D43</f>
        <v>0</v>
      </c>
      <c r="E46" s="8">
        <f>Produtos!E43</f>
        <v>0</v>
      </c>
      <c r="F46" s="17">
        <f>Produtos!H43</f>
        <v>0</v>
      </c>
      <c r="G46" s="17">
        <f t="shared" si="0"/>
        <v>0</v>
      </c>
      <c r="H46" s="22">
        <f t="shared" si="1"/>
        <v>0</v>
      </c>
      <c r="I46" s="22">
        <f t="shared" si="2"/>
        <v>0</v>
      </c>
      <c r="J46" s="22">
        <f t="shared" si="3"/>
        <v>0</v>
      </c>
    </row>
    <row r="47" spans="2:10" hidden="1" x14ac:dyDescent="0.3">
      <c r="B47" s="27">
        <v>39</v>
      </c>
      <c r="C47" s="7" t="str">
        <f>Produtos!C44</f>
        <v>Produto / Serviço 39</v>
      </c>
      <c r="D47" s="7">
        <f>'Vendas (q)'!D44</f>
        <v>0</v>
      </c>
      <c r="E47" s="8">
        <f>Produtos!E44</f>
        <v>0</v>
      </c>
      <c r="F47" s="17">
        <f>Produtos!H44</f>
        <v>0</v>
      </c>
      <c r="G47" s="17">
        <f t="shared" si="0"/>
        <v>0</v>
      </c>
      <c r="H47" s="22">
        <f t="shared" si="1"/>
        <v>0</v>
      </c>
      <c r="I47" s="22">
        <f t="shared" si="2"/>
        <v>0</v>
      </c>
      <c r="J47" s="22">
        <f t="shared" si="3"/>
        <v>0</v>
      </c>
    </row>
    <row r="48" spans="2:10" hidden="1" x14ac:dyDescent="0.3">
      <c r="B48" s="27">
        <v>40</v>
      </c>
      <c r="C48" s="7" t="str">
        <f>Produtos!C45</f>
        <v>Produto / Serviço 40</v>
      </c>
      <c r="D48" s="7">
        <f>'Vendas (q)'!D45</f>
        <v>0</v>
      </c>
      <c r="E48" s="8">
        <f>Produtos!E45</f>
        <v>0</v>
      </c>
      <c r="F48" s="17">
        <f>Produtos!H45</f>
        <v>0</v>
      </c>
      <c r="G48" s="17">
        <f t="shared" si="0"/>
        <v>0</v>
      </c>
      <c r="H48" s="22">
        <f t="shared" si="1"/>
        <v>0</v>
      </c>
      <c r="I48" s="22">
        <f t="shared" si="2"/>
        <v>0</v>
      </c>
      <c r="J48" s="22">
        <f t="shared" si="3"/>
        <v>0</v>
      </c>
    </row>
    <row r="49" spans="2:10" hidden="1" x14ac:dyDescent="0.3">
      <c r="B49" s="27">
        <v>41</v>
      </c>
      <c r="C49" s="7" t="str">
        <f>Produtos!C46</f>
        <v>Produto / Serviço 41</v>
      </c>
      <c r="D49" s="7">
        <f>'Vendas (q)'!D46</f>
        <v>0</v>
      </c>
      <c r="E49" s="8">
        <f>Produtos!E46</f>
        <v>0</v>
      </c>
      <c r="F49" s="17">
        <f>Produtos!H46</f>
        <v>0</v>
      </c>
      <c r="G49" s="17">
        <f t="shared" si="0"/>
        <v>0</v>
      </c>
      <c r="H49" s="22">
        <f t="shared" si="1"/>
        <v>0</v>
      </c>
      <c r="I49" s="22">
        <f t="shared" si="2"/>
        <v>0</v>
      </c>
      <c r="J49" s="22">
        <f t="shared" si="3"/>
        <v>0</v>
      </c>
    </row>
    <row r="50" spans="2:10" hidden="1" x14ac:dyDescent="0.3">
      <c r="B50" s="27">
        <v>42</v>
      </c>
      <c r="C50" s="7" t="str">
        <f>Produtos!C47</f>
        <v>Produto / Serviço 42</v>
      </c>
      <c r="D50" s="7">
        <f>'Vendas (q)'!D47</f>
        <v>0</v>
      </c>
      <c r="E50" s="8">
        <f>Produtos!E47</f>
        <v>0</v>
      </c>
      <c r="F50" s="17">
        <f>Produtos!H47</f>
        <v>0</v>
      </c>
      <c r="G50" s="17">
        <f t="shared" si="0"/>
        <v>0</v>
      </c>
      <c r="H50" s="22">
        <f t="shared" si="1"/>
        <v>0</v>
      </c>
      <c r="I50" s="22">
        <f t="shared" si="2"/>
        <v>0</v>
      </c>
      <c r="J50" s="22">
        <f t="shared" si="3"/>
        <v>0</v>
      </c>
    </row>
    <row r="51" spans="2:10" hidden="1" x14ac:dyDescent="0.3">
      <c r="B51" s="27">
        <v>43</v>
      </c>
      <c r="C51" s="7" t="str">
        <f>Produtos!C48</f>
        <v>Produto / Serviço 43</v>
      </c>
      <c r="D51" s="7">
        <f>'Vendas (q)'!D48</f>
        <v>0</v>
      </c>
      <c r="E51" s="8">
        <f>Produtos!E48</f>
        <v>0</v>
      </c>
      <c r="F51" s="17">
        <f>Produtos!H48</f>
        <v>0</v>
      </c>
      <c r="G51" s="17">
        <f t="shared" si="0"/>
        <v>0</v>
      </c>
      <c r="H51" s="22">
        <f t="shared" si="1"/>
        <v>0</v>
      </c>
      <c r="I51" s="22">
        <f t="shared" si="2"/>
        <v>0</v>
      </c>
      <c r="J51" s="22">
        <f t="shared" si="3"/>
        <v>0</v>
      </c>
    </row>
    <row r="52" spans="2:10" hidden="1" x14ac:dyDescent="0.3">
      <c r="B52" s="27">
        <v>44</v>
      </c>
      <c r="C52" s="7" t="str">
        <f>Produtos!C49</f>
        <v>Produto / Serviço 44</v>
      </c>
      <c r="D52" s="7">
        <f>'Vendas (q)'!D49</f>
        <v>0</v>
      </c>
      <c r="E52" s="8">
        <f>Produtos!E49</f>
        <v>0</v>
      </c>
      <c r="F52" s="17">
        <f>Produtos!H49</f>
        <v>0</v>
      </c>
      <c r="G52" s="17">
        <f t="shared" si="0"/>
        <v>0</v>
      </c>
      <c r="H52" s="22">
        <f t="shared" si="1"/>
        <v>0</v>
      </c>
      <c r="I52" s="22">
        <f t="shared" si="2"/>
        <v>0</v>
      </c>
      <c r="J52" s="22">
        <f t="shared" si="3"/>
        <v>0</v>
      </c>
    </row>
    <row r="53" spans="2:10" hidden="1" x14ac:dyDescent="0.3">
      <c r="B53" s="27">
        <v>45</v>
      </c>
      <c r="C53" s="7" t="str">
        <f>Produtos!C50</f>
        <v>Produto / Serviço 45</v>
      </c>
      <c r="D53" s="7">
        <f>'Vendas (q)'!D50</f>
        <v>0</v>
      </c>
      <c r="E53" s="8">
        <f>Produtos!E50</f>
        <v>0</v>
      </c>
      <c r="F53" s="17">
        <f>Produtos!H50</f>
        <v>0</v>
      </c>
      <c r="G53" s="17">
        <f t="shared" si="0"/>
        <v>0</v>
      </c>
      <c r="H53" s="22">
        <f t="shared" si="1"/>
        <v>0</v>
      </c>
      <c r="I53" s="22">
        <f t="shared" si="2"/>
        <v>0</v>
      </c>
      <c r="J53" s="22">
        <f t="shared" si="3"/>
        <v>0</v>
      </c>
    </row>
    <row r="54" spans="2:10" ht="15" hidden="1" customHeight="1" x14ac:dyDescent="0.3">
      <c r="B54" s="27">
        <v>46</v>
      </c>
      <c r="C54" s="7" t="str">
        <f>Produtos!C51</f>
        <v>Produto / Serviço 46</v>
      </c>
      <c r="D54" s="7">
        <f>'Vendas (q)'!D51</f>
        <v>0</v>
      </c>
      <c r="E54" s="8">
        <f>Produtos!E51</f>
        <v>0</v>
      </c>
      <c r="F54" s="17">
        <f>Produtos!H51</f>
        <v>0</v>
      </c>
      <c r="G54" s="17">
        <f t="shared" si="0"/>
        <v>0</v>
      </c>
      <c r="H54" s="22">
        <f t="shared" si="1"/>
        <v>0</v>
      </c>
      <c r="I54" s="22">
        <f t="shared" si="2"/>
        <v>0</v>
      </c>
      <c r="J54" s="22">
        <f t="shared" si="3"/>
        <v>0</v>
      </c>
    </row>
    <row r="55" spans="2:10" hidden="1" x14ac:dyDescent="0.3">
      <c r="B55" s="27">
        <v>47</v>
      </c>
      <c r="C55" s="7" t="str">
        <f>Produtos!C52</f>
        <v>Produto / Serviço 47</v>
      </c>
      <c r="D55" s="7">
        <f>'Vendas (q)'!D52</f>
        <v>0</v>
      </c>
      <c r="E55" s="8">
        <f>Produtos!E52</f>
        <v>0</v>
      </c>
      <c r="F55" s="17">
        <f>Produtos!H52</f>
        <v>0</v>
      </c>
      <c r="G55" s="17">
        <f t="shared" si="0"/>
        <v>0</v>
      </c>
      <c r="H55" s="22">
        <f t="shared" si="1"/>
        <v>0</v>
      </c>
      <c r="I55" s="22">
        <f t="shared" si="2"/>
        <v>0</v>
      </c>
      <c r="J55" s="22">
        <f t="shared" si="3"/>
        <v>0</v>
      </c>
    </row>
    <row r="56" spans="2:10" hidden="1" x14ac:dyDescent="0.3">
      <c r="B56" s="27">
        <v>48</v>
      </c>
      <c r="C56" s="7" t="str">
        <f>Produtos!C53</f>
        <v>Produto / Serviço 48</v>
      </c>
      <c r="D56" s="7">
        <f>'Vendas (q)'!D53</f>
        <v>0</v>
      </c>
      <c r="E56" s="8">
        <f>Produtos!E53</f>
        <v>0</v>
      </c>
      <c r="F56" s="17">
        <f>Produtos!H53</f>
        <v>0</v>
      </c>
      <c r="G56" s="17">
        <f t="shared" si="0"/>
        <v>0</v>
      </c>
      <c r="H56" s="22">
        <f t="shared" si="1"/>
        <v>0</v>
      </c>
      <c r="I56" s="22">
        <f t="shared" si="2"/>
        <v>0</v>
      </c>
      <c r="J56" s="22">
        <f t="shared" si="3"/>
        <v>0</v>
      </c>
    </row>
    <row r="57" spans="2:10" hidden="1" x14ac:dyDescent="0.3">
      <c r="B57" s="27">
        <v>49</v>
      </c>
      <c r="C57" s="7" t="str">
        <f>Produtos!C54</f>
        <v>Produto / Serviço 49</v>
      </c>
      <c r="D57" s="7">
        <f>'Vendas (q)'!D54</f>
        <v>0</v>
      </c>
      <c r="E57" s="8">
        <f>Produtos!E54</f>
        <v>0</v>
      </c>
      <c r="F57" s="17">
        <f>Produtos!H54</f>
        <v>0</v>
      </c>
      <c r="G57" s="17">
        <f t="shared" si="0"/>
        <v>0</v>
      </c>
      <c r="H57" s="22">
        <f t="shared" si="1"/>
        <v>0</v>
      </c>
      <c r="I57" s="22">
        <f t="shared" si="2"/>
        <v>0</v>
      </c>
      <c r="J57" s="22">
        <f t="shared" si="3"/>
        <v>0</v>
      </c>
    </row>
    <row r="58" spans="2:10" ht="15" hidden="1" customHeight="1" x14ac:dyDescent="0.3">
      <c r="B58" s="27">
        <v>50</v>
      </c>
      <c r="C58" s="7" t="str">
        <f>Produtos!C55</f>
        <v>Produto / Serviço 50</v>
      </c>
      <c r="D58" s="7">
        <f>'Vendas (q)'!D55</f>
        <v>0</v>
      </c>
      <c r="E58" s="8">
        <f>Produtos!E55</f>
        <v>0</v>
      </c>
      <c r="F58" s="17">
        <f>Produtos!H55</f>
        <v>0</v>
      </c>
      <c r="G58" s="17">
        <f t="shared" si="0"/>
        <v>0</v>
      </c>
      <c r="H58" s="22">
        <f t="shared" si="1"/>
        <v>0</v>
      </c>
      <c r="I58" s="22">
        <f t="shared" si="2"/>
        <v>0</v>
      </c>
      <c r="J58" s="22">
        <f t="shared" si="3"/>
        <v>0</v>
      </c>
    </row>
    <row r="59" spans="2:10" x14ac:dyDescent="0.3">
      <c r="C59" s="33" t="s">
        <v>2</v>
      </c>
      <c r="D59" s="33"/>
      <c r="E59" s="33"/>
      <c r="F59" s="33"/>
      <c r="G59" s="34">
        <f>SUM(G9:G58)</f>
        <v>2003925</v>
      </c>
      <c r="H59" s="34">
        <f t="shared" ref="H59:J59" si="4">SUM(H9:H58)</f>
        <v>20039.25</v>
      </c>
      <c r="I59" s="34">
        <f t="shared" si="4"/>
        <v>40078.5</v>
      </c>
      <c r="J59" s="34">
        <f t="shared" si="4"/>
        <v>1560250</v>
      </c>
    </row>
    <row r="62" spans="2:10" x14ac:dyDescent="0.3">
      <c r="C62" s="12" t="s">
        <v>82</v>
      </c>
    </row>
    <row r="63" spans="2:10" x14ac:dyDescent="0.3">
      <c r="C63" s="24"/>
      <c r="D63" s="36" t="s">
        <v>95</v>
      </c>
      <c r="E63" s="37" t="s">
        <v>96</v>
      </c>
      <c r="F63" s="37" t="s">
        <v>127</v>
      </c>
      <c r="G63" s="37" t="s">
        <v>81</v>
      </c>
    </row>
    <row r="64" spans="2:10" x14ac:dyDescent="0.3">
      <c r="C64" s="24" t="s">
        <v>26</v>
      </c>
      <c r="D64" s="38">
        <f>G59</f>
        <v>2003925</v>
      </c>
      <c r="E64" s="39">
        <f>J59</f>
        <v>1560250</v>
      </c>
      <c r="F64" s="39">
        <f>H59</f>
        <v>20039.25</v>
      </c>
      <c r="G64" s="39">
        <f>I59</f>
        <v>40078.5</v>
      </c>
    </row>
    <row r="66" spans="3:4" x14ac:dyDescent="0.3">
      <c r="C66" s="24" t="s">
        <v>139</v>
      </c>
      <c r="D66" s="35">
        <f>D64-E64-F64-G64</f>
        <v>383557.25</v>
      </c>
    </row>
  </sheetData>
  <pageMargins left="0.25" right="0.25" top="0.75" bottom="0.75" header="0.3" footer="0.3"/>
  <pageSetup paperSize="9" fitToHeight="0" orientation="landscape" r:id="rId1"/>
  <headerFooter>
    <oddHeader>&amp;C&amp;8Anexo 5</oddHeader>
    <oddFooter>&amp;C&amp;8Jowanel Indústria de Móveis Estofados Ltda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37"/>
  <sheetViews>
    <sheetView zoomScaleNormal="100" workbookViewId="0">
      <selection activeCell="A4" sqref="A4"/>
    </sheetView>
  </sheetViews>
  <sheetFormatPr defaultRowHeight="14.4" x14ac:dyDescent="0.3"/>
  <cols>
    <col min="1" max="1" width="2.88671875" style="4" customWidth="1"/>
    <col min="2" max="2" width="38" style="4" bestFit="1" customWidth="1"/>
    <col min="3" max="3" width="23.5546875" style="4" bestFit="1" customWidth="1"/>
    <col min="4" max="4" width="13.33203125" style="4" bestFit="1" customWidth="1"/>
    <col min="5" max="16384" width="8.88671875" style="4"/>
  </cols>
  <sheetData>
    <row r="1" spans="2:4" s="13" customFormat="1" x14ac:dyDescent="0.3">
      <c r="B1" s="13" t="s">
        <v>140</v>
      </c>
    </row>
    <row r="2" spans="2:4" s="13" customFormat="1" x14ac:dyDescent="0.3">
      <c r="B2" s="13" t="s">
        <v>141</v>
      </c>
    </row>
    <row r="3" spans="2:4" s="13" customFormat="1" x14ac:dyDescent="0.3"/>
    <row r="5" spans="2:4" x14ac:dyDescent="0.3">
      <c r="B5" s="10" t="s">
        <v>41</v>
      </c>
      <c r="C5" s="10" t="s">
        <v>42</v>
      </c>
    </row>
    <row r="6" spans="2:4" x14ac:dyDescent="0.3">
      <c r="B6" s="10" t="s">
        <v>43</v>
      </c>
      <c r="C6" s="17">
        <v>2000</v>
      </c>
    </row>
    <row r="7" spans="2:4" x14ac:dyDescent="0.3">
      <c r="B7" s="10" t="s">
        <v>44</v>
      </c>
      <c r="C7" s="17">
        <v>500</v>
      </c>
    </row>
    <row r="8" spans="2:4" x14ac:dyDescent="0.3">
      <c r="B8" s="10" t="s">
        <v>45</v>
      </c>
      <c r="C8" s="17">
        <v>40000</v>
      </c>
    </row>
    <row r="9" spans="2:4" x14ac:dyDescent="0.3">
      <c r="B9" s="10" t="s">
        <v>46</v>
      </c>
      <c r="C9" s="17">
        <v>20000</v>
      </c>
    </row>
    <row r="10" spans="2:4" x14ac:dyDescent="0.3">
      <c r="B10" s="10" t="s">
        <v>47</v>
      </c>
      <c r="C10" s="17">
        <v>15000</v>
      </c>
    </row>
    <row r="11" spans="2:4" x14ac:dyDescent="0.3">
      <c r="B11" s="10" t="s">
        <v>48</v>
      </c>
      <c r="C11" s="17">
        <v>1500</v>
      </c>
    </row>
    <row r="12" spans="2:4" x14ac:dyDescent="0.3">
      <c r="B12" s="10" t="s">
        <v>49</v>
      </c>
      <c r="C12" s="17">
        <v>500</v>
      </c>
    </row>
    <row r="13" spans="2:4" x14ac:dyDescent="0.3">
      <c r="B13" s="10" t="s">
        <v>50</v>
      </c>
      <c r="C13" s="17">
        <v>500</v>
      </c>
    </row>
    <row r="14" spans="2:4" x14ac:dyDescent="0.3">
      <c r="B14" s="10" t="s">
        <v>51</v>
      </c>
      <c r="C14" s="17">
        <v>5000</v>
      </c>
    </row>
    <row r="15" spans="2:4" x14ac:dyDescent="0.3">
      <c r="B15" s="10" t="s">
        <v>164</v>
      </c>
      <c r="C15" s="17">
        <v>15000</v>
      </c>
      <c r="D15" s="40"/>
    </row>
    <row r="16" spans="2:4" x14ac:dyDescent="0.3">
      <c r="B16" s="10" t="s">
        <v>165</v>
      </c>
      <c r="C16" s="17">
        <v>5000</v>
      </c>
    </row>
    <row r="17" spans="2:3" x14ac:dyDescent="0.3">
      <c r="B17" s="10" t="s">
        <v>52</v>
      </c>
      <c r="C17" s="17">
        <v>5000</v>
      </c>
    </row>
    <row r="18" spans="2:3" x14ac:dyDescent="0.3">
      <c r="B18" s="10" t="s">
        <v>53</v>
      </c>
      <c r="C18" s="17">
        <v>5000</v>
      </c>
    </row>
    <row r="19" spans="2:3" x14ac:dyDescent="0.3">
      <c r="B19" s="10" t="s">
        <v>54</v>
      </c>
      <c r="C19" s="17">
        <v>500</v>
      </c>
    </row>
    <row r="20" spans="2:3" x14ac:dyDescent="0.3">
      <c r="B20" s="10" t="s">
        <v>173</v>
      </c>
      <c r="C20" s="17">
        <v>5000</v>
      </c>
    </row>
    <row r="21" spans="2:3" x14ac:dyDescent="0.3">
      <c r="B21" s="10" t="s">
        <v>55</v>
      </c>
      <c r="C21" s="17">
        <v>5000</v>
      </c>
    </row>
    <row r="22" spans="2:3" x14ac:dyDescent="0.3">
      <c r="B22" s="10" t="s">
        <v>56</v>
      </c>
      <c r="C22" s="17">
        <v>5000</v>
      </c>
    </row>
    <row r="23" spans="2:3" x14ac:dyDescent="0.3">
      <c r="B23" s="10" t="s">
        <v>57</v>
      </c>
      <c r="C23" s="17">
        <v>65000</v>
      </c>
    </row>
    <row r="24" spans="2:3" x14ac:dyDescent="0.3">
      <c r="B24" s="10" t="s">
        <v>58</v>
      </c>
      <c r="C24" s="17">
        <v>2000</v>
      </c>
    </row>
    <row r="25" spans="2:3" x14ac:dyDescent="0.3">
      <c r="B25" s="10" t="s">
        <v>59</v>
      </c>
      <c r="C25" s="17">
        <v>2000</v>
      </c>
    </row>
    <row r="26" spans="2:3" x14ac:dyDescent="0.3">
      <c r="B26" s="10" t="s">
        <v>60</v>
      </c>
      <c r="C26" s="17">
        <v>2000</v>
      </c>
    </row>
    <row r="27" spans="2:3" x14ac:dyDescent="0.3">
      <c r="B27" s="10" t="s">
        <v>61</v>
      </c>
      <c r="C27" s="17">
        <v>1000</v>
      </c>
    </row>
    <row r="28" spans="2:3" x14ac:dyDescent="0.3">
      <c r="B28" s="10" t="s">
        <v>62</v>
      </c>
      <c r="C28" s="17">
        <v>10000</v>
      </c>
    </row>
    <row r="29" spans="2:3" x14ac:dyDescent="0.3">
      <c r="B29" s="10" t="s">
        <v>63</v>
      </c>
      <c r="C29" s="17">
        <v>2000</v>
      </c>
    </row>
    <row r="30" spans="2:3" x14ac:dyDescent="0.3">
      <c r="B30" s="10" t="s">
        <v>64</v>
      </c>
      <c r="C30" s="17">
        <v>5000</v>
      </c>
    </row>
    <row r="31" spans="2:3" x14ac:dyDescent="0.3">
      <c r="B31" s="10" t="s">
        <v>65</v>
      </c>
      <c r="C31" s="17">
        <v>200</v>
      </c>
    </row>
    <row r="32" spans="2:3" x14ac:dyDescent="0.3">
      <c r="B32" s="10" t="s">
        <v>66</v>
      </c>
      <c r="C32" s="17">
        <v>5000</v>
      </c>
    </row>
    <row r="33" spans="2:3" x14ac:dyDescent="0.3">
      <c r="B33" s="10" t="s">
        <v>67</v>
      </c>
      <c r="C33" s="17">
        <v>1000</v>
      </c>
    </row>
    <row r="34" spans="2:3" x14ac:dyDescent="0.3">
      <c r="B34" s="10" t="s">
        <v>68</v>
      </c>
      <c r="C34" s="17">
        <v>1000</v>
      </c>
    </row>
    <row r="35" spans="2:3" x14ac:dyDescent="0.3">
      <c r="B35" s="10" t="s">
        <v>69</v>
      </c>
      <c r="C35" s="17">
        <v>3000</v>
      </c>
    </row>
    <row r="36" spans="2:3" x14ac:dyDescent="0.3">
      <c r="B36" s="10" t="s">
        <v>79</v>
      </c>
      <c r="C36" s="17">
        <v>20000</v>
      </c>
    </row>
    <row r="37" spans="2:3" x14ac:dyDescent="0.3">
      <c r="B37" s="10" t="s">
        <v>2</v>
      </c>
      <c r="C37" s="41">
        <f>SUM(C6:C36)</f>
        <v>249700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32"/>
  <sheetViews>
    <sheetView zoomScaleNormal="100" workbookViewId="0">
      <selection activeCell="A4" sqref="A4"/>
    </sheetView>
  </sheetViews>
  <sheetFormatPr defaultRowHeight="14.4" x14ac:dyDescent="0.3"/>
  <cols>
    <col min="1" max="1" width="3.77734375" style="4" customWidth="1"/>
    <col min="2" max="2" width="35.109375" style="4" bestFit="1" customWidth="1"/>
    <col min="3" max="3" width="12.109375" style="4" bestFit="1" customWidth="1"/>
    <col min="4" max="4" width="13.109375" style="4" bestFit="1" customWidth="1"/>
    <col min="5" max="5" width="12.88671875" style="4" bestFit="1" customWidth="1"/>
    <col min="6" max="6" width="13.109375" style="4" bestFit="1" customWidth="1"/>
    <col min="7" max="7" width="12.33203125" style="4" customWidth="1"/>
    <col min="8" max="8" width="12.109375" style="4" bestFit="1" customWidth="1"/>
    <col min="9" max="9" width="9.5546875" style="4" bestFit="1" customWidth="1"/>
    <col min="10" max="11" width="8.88671875" style="4"/>
    <col min="12" max="12" width="9.5546875" style="4" bestFit="1" customWidth="1"/>
    <col min="13" max="16384" width="8.88671875" style="4"/>
  </cols>
  <sheetData>
    <row r="1" spans="2:8" s="13" customFormat="1" x14ac:dyDescent="0.3">
      <c r="B1" s="13" t="s">
        <v>140</v>
      </c>
    </row>
    <row r="2" spans="2:8" s="13" customFormat="1" x14ac:dyDescent="0.3">
      <c r="B2" s="13" t="s">
        <v>141</v>
      </c>
    </row>
    <row r="3" spans="2:8" s="13" customFormat="1" x14ac:dyDescent="0.3"/>
    <row r="5" spans="2:8" x14ac:dyDescent="0.3">
      <c r="B5" s="12" t="s">
        <v>4</v>
      </c>
    </row>
    <row r="6" spans="2:8" x14ac:dyDescent="0.3">
      <c r="B6" s="50" t="s">
        <v>5</v>
      </c>
      <c r="C6" s="50" t="s">
        <v>7</v>
      </c>
      <c r="D6" s="50" t="s">
        <v>1</v>
      </c>
      <c r="E6" s="50" t="s">
        <v>6</v>
      </c>
      <c r="F6" s="50" t="s">
        <v>2</v>
      </c>
      <c r="G6" s="42"/>
    </row>
    <row r="7" spans="2:8" x14ac:dyDescent="0.3">
      <c r="B7" s="52" t="s">
        <v>128</v>
      </c>
      <c r="C7" s="43">
        <v>1</v>
      </c>
      <c r="D7" s="44">
        <v>2000</v>
      </c>
      <c r="E7" s="44">
        <f>D7*60%</f>
        <v>1200</v>
      </c>
      <c r="F7" s="44">
        <f>SUM(D7:E7)*C7</f>
        <v>3200</v>
      </c>
      <c r="G7" s="45"/>
      <c r="H7" s="46"/>
    </row>
    <row r="8" spans="2:8" x14ac:dyDescent="0.3">
      <c r="B8" s="52" t="s">
        <v>70</v>
      </c>
      <c r="C8" s="43">
        <v>1</v>
      </c>
      <c r="D8" s="44">
        <v>2500</v>
      </c>
      <c r="E8" s="44">
        <f>D8*60%</f>
        <v>1500</v>
      </c>
      <c r="F8" s="44">
        <f>SUM(D8:E8)*C8</f>
        <v>4000</v>
      </c>
      <c r="G8" s="45"/>
      <c r="H8" s="47"/>
    </row>
    <row r="9" spans="2:8" x14ac:dyDescent="0.3">
      <c r="B9" s="52" t="s">
        <v>166</v>
      </c>
      <c r="C9" s="43">
        <v>1</v>
      </c>
      <c r="D9" s="44">
        <v>4000</v>
      </c>
      <c r="E9" s="44">
        <f>D9*60%</f>
        <v>2400</v>
      </c>
      <c r="F9" s="44">
        <f>SUM(D9:E9)*C9</f>
        <v>6400</v>
      </c>
      <c r="G9" s="45"/>
      <c r="H9" s="47"/>
    </row>
    <row r="10" spans="2:8" x14ac:dyDescent="0.3">
      <c r="B10" s="52" t="s">
        <v>167</v>
      </c>
      <c r="C10" s="43">
        <v>1</v>
      </c>
      <c r="D10" s="44">
        <v>2000</v>
      </c>
      <c r="E10" s="44">
        <f>D10*60%</f>
        <v>1200</v>
      </c>
      <c r="F10" s="44">
        <f>SUM(D10:E10)*C10</f>
        <v>3200</v>
      </c>
      <c r="G10" s="45"/>
      <c r="H10" s="47"/>
    </row>
    <row r="11" spans="2:8" x14ac:dyDescent="0.3">
      <c r="B11" s="50" t="s">
        <v>2</v>
      </c>
      <c r="C11" s="50"/>
      <c r="D11" s="51">
        <f>SUM(D7:D10)</f>
        <v>10500</v>
      </c>
      <c r="E11" s="51">
        <f>SUM(E7:E10)</f>
        <v>6300</v>
      </c>
      <c r="F11" s="51">
        <f>SUM(F7:F10)</f>
        <v>16800</v>
      </c>
      <c r="G11" s="48"/>
    </row>
    <row r="14" spans="2:8" s="6" customFormat="1" x14ac:dyDescent="0.3"/>
    <row r="15" spans="2:8" s="6" customFormat="1" x14ac:dyDescent="0.3"/>
    <row r="16" spans="2:8" s="6" customFormat="1" x14ac:dyDescent="0.3">
      <c r="B16" s="6" t="s">
        <v>103</v>
      </c>
    </row>
    <row r="17" spans="2:4" s="6" customFormat="1" x14ac:dyDescent="0.3">
      <c r="B17" s="6" t="s">
        <v>104</v>
      </c>
    </row>
    <row r="18" spans="2:4" s="6" customFormat="1" x14ac:dyDescent="0.3">
      <c r="B18" s="6" t="s">
        <v>105</v>
      </c>
    </row>
    <row r="19" spans="2:4" s="6" customFormat="1" x14ac:dyDescent="0.3"/>
    <row r="20" spans="2:4" s="6" customFormat="1" x14ac:dyDescent="0.3">
      <c r="B20" s="6" t="s">
        <v>106</v>
      </c>
    </row>
    <row r="21" spans="2:4" s="6" customFormat="1" x14ac:dyDescent="0.3">
      <c r="B21" s="6" t="s">
        <v>107</v>
      </c>
    </row>
    <row r="22" spans="2:4" s="6" customFormat="1" x14ac:dyDescent="0.3">
      <c r="B22" s="6" t="s">
        <v>108</v>
      </c>
    </row>
    <row r="23" spans="2:4" s="6" customFormat="1" x14ac:dyDescent="0.3">
      <c r="B23" s="6" t="s">
        <v>109</v>
      </c>
    </row>
    <row r="24" spans="2:4" s="6" customFormat="1" x14ac:dyDescent="0.3">
      <c r="B24" s="6" t="s">
        <v>110</v>
      </c>
    </row>
    <row r="25" spans="2:4" s="6" customFormat="1" x14ac:dyDescent="0.3">
      <c r="B25" s="6" t="s">
        <v>111</v>
      </c>
      <c r="D25" s="6" t="s">
        <v>113</v>
      </c>
    </row>
    <row r="26" spans="2:4" s="6" customFormat="1" x14ac:dyDescent="0.3">
      <c r="B26" s="6" t="s">
        <v>112</v>
      </c>
      <c r="D26" s="6" t="s">
        <v>114</v>
      </c>
    </row>
    <row r="27" spans="2:4" s="6" customFormat="1" x14ac:dyDescent="0.3"/>
    <row r="28" spans="2:4" s="6" customFormat="1" x14ac:dyDescent="0.3">
      <c r="B28" s="6">
        <f>20+1+1.5+2.5+0.2+0.6+1</f>
        <v>26.8</v>
      </c>
    </row>
    <row r="29" spans="2:4" s="6" customFormat="1" x14ac:dyDescent="0.3"/>
    <row r="30" spans="2:4" s="6" customFormat="1" x14ac:dyDescent="0.3">
      <c r="C30" s="49"/>
    </row>
    <row r="31" spans="2:4" s="6" customFormat="1" x14ac:dyDescent="0.3">
      <c r="C31" s="49"/>
    </row>
    <row r="32" spans="2:4" s="6" customFormat="1" x14ac:dyDescent="0.3"/>
  </sheetData>
  <pageMargins left="0.7" right="0.7" top="0.75" bottom="0.75" header="0.3" footer="0.3"/>
  <pageSetup paperSize="9" orientation="portrait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33"/>
  <sheetViews>
    <sheetView zoomScaleNormal="100" workbookViewId="0">
      <selection activeCell="A4" sqref="A4"/>
    </sheetView>
  </sheetViews>
  <sheetFormatPr defaultRowHeight="14.4" x14ac:dyDescent="0.3"/>
  <cols>
    <col min="1" max="1" width="2.109375" style="4" customWidth="1"/>
    <col min="2" max="2" width="40.6640625" style="4" bestFit="1" customWidth="1"/>
    <col min="3" max="3" width="14.109375" style="4" bestFit="1" customWidth="1"/>
    <col min="4" max="16384" width="8.88671875" style="4"/>
  </cols>
  <sheetData>
    <row r="1" spans="2:4" s="13" customFormat="1" x14ac:dyDescent="0.3">
      <c r="B1" s="13" t="s">
        <v>140</v>
      </c>
    </row>
    <row r="2" spans="2:4" s="13" customFormat="1" x14ac:dyDescent="0.3">
      <c r="B2" s="13" t="s">
        <v>168</v>
      </c>
    </row>
    <row r="3" spans="2:4" s="13" customFormat="1" x14ac:dyDescent="0.3"/>
    <row r="5" spans="2:4" x14ac:dyDescent="0.3">
      <c r="B5" s="10" t="s">
        <v>41</v>
      </c>
      <c r="C5" s="10" t="s">
        <v>71</v>
      </c>
    </row>
    <row r="6" spans="2:4" x14ac:dyDescent="0.3">
      <c r="B6" s="10" t="s">
        <v>8</v>
      </c>
      <c r="C6" s="17">
        <v>100</v>
      </c>
    </row>
    <row r="7" spans="2:4" x14ac:dyDescent="0.3">
      <c r="B7" s="10" t="s">
        <v>72</v>
      </c>
      <c r="C7" s="17">
        <v>120</v>
      </c>
    </row>
    <row r="8" spans="2:4" x14ac:dyDescent="0.3">
      <c r="B8" s="10" t="s">
        <v>73</v>
      </c>
      <c r="C8" s="17">
        <v>500</v>
      </c>
    </row>
    <row r="9" spans="2:4" x14ac:dyDescent="0.3">
      <c r="B9" s="10" t="s">
        <v>9</v>
      </c>
      <c r="C9" s="17">
        <v>4000</v>
      </c>
      <c r="D9" s="46"/>
    </row>
    <row r="10" spans="2:4" x14ac:dyDescent="0.3">
      <c r="B10" s="10" t="s">
        <v>10</v>
      </c>
      <c r="C10" s="17">
        <v>250</v>
      </c>
    </row>
    <row r="11" spans="2:4" x14ac:dyDescent="0.3">
      <c r="B11" s="10" t="s">
        <v>11</v>
      </c>
      <c r="C11" s="17">
        <v>100</v>
      </c>
    </row>
    <row r="12" spans="2:4" x14ac:dyDescent="0.3">
      <c r="B12" s="10" t="s">
        <v>12</v>
      </c>
      <c r="C12" s="17">
        <v>1000</v>
      </c>
    </row>
    <row r="13" spans="2:4" x14ac:dyDescent="0.3">
      <c r="B13" s="10" t="s">
        <v>74</v>
      </c>
      <c r="C13" s="17">
        <v>0</v>
      </c>
    </row>
    <row r="14" spans="2:4" x14ac:dyDescent="0.3">
      <c r="B14" s="10" t="s">
        <v>13</v>
      </c>
      <c r="C14" s="17">
        <v>300</v>
      </c>
    </row>
    <row r="15" spans="2:4" x14ac:dyDescent="0.3">
      <c r="B15" s="10" t="s">
        <v>169</v>
      </c>
      <c r="C15" s="17">
        <v>200</v>
      </c>
    </row>
    <row r="16" spans="2:4" x14ac:dyDescent="0.3">
      <c r="B16" s="10" t="s">
        <v>14</v>
      </c>
      <c r="C16" s="17">
        <v>500</v>
      </c>
    </row>
    <row r="17" spans="2:4" x14ac:dyDescent="0.3">
      <c r="B17" s="10" t="s">
        <v>75</v>
      </c>
      <c r="C17" s="17">
        <v>1000</v>
      </c>
    </row>
    <row r="18" spans="2:4" x14ac:dyDescent="0.3">
      <c r="B18" s="10" t="s">
        <v>15</v>
      </c>
      <c r="C18" s="17">
        <v>1000</v>
      </c>
    </row>
    <row r="19" spans="2:4" x14ac:dyDescent="0.3">
      <c r="B19" s="10" t="s">
        <v>20</v>
      </c>
      <c r="C19" s="17">
        <v>200</v>
      </c>
    </row>
    <row r="20" spans="2:4" x14ac:dyDescent="0.3">
      <c r="B20" s="10" t="s">
        <v>16</v>
      </c>
      <c r="C20" s="17">
        <v>200</v>
      </c>
    </row>
    <row r="21" spans="2:4" x14ac:dyDescent="0.3">
      <c r="B21" s="10" t="s">
        <v>76</v>
      </c>
      <c r="C21" s="17">
        <v>200</v>
      </c>
    </row>
    <row r="22" spans="2:4" x14ac:dyDescent="0.3">
      <c r="B22" s="10" t="s">
        <v>17</v>
      </c>
      <c r="C22" s="17">
        <v>100</v>
      </c>
    </row>
    <row r="23" spans="2:4" x14ac:dyDescent="0.3">
      <c r="B23" s="10" t="s">
        <v>18</v>
      </c>
      <c r="C23" s="17">
        <v>100</v>
      </c>
    </row>
    <row r="24" spans="2:4" x14ac:dyDescent="0.3">
      <c r="B24" s="10" t="s">
        <v>24</v>
      </c>
      <c r="C24" s="17">
        <v>5000</v>
      </c>
    </row>
    <row r="25" spans="2:4" x14ac:dyDescent="0.3">
      <c r="B25" s="10" t="s">
        <v>19</v>
      </c>
      <c r="C25" s="17">
        <v>1000</v>
      </c>
    </row>
    <row r="26" spans="2:4" x14ac:dyDescent="0.3">
      <c r="B26" s="10" t="s">
        <v>22</v>
      </c>
      <c r="C26" s="17">
        <f>FOPAG!F11</f>
        <v>16800</v>
      </c>
      <c r="D26" s="53"/>
    </row>
    <row r="27" spans="2:4" x14ac:dyDescent="0.3">
      <c r="B27" s="10" t="s">
        <v>77</v>
      </c>
      <c r="C27" s="17">
        <v>200</v>
      </c>
    </row>
    <row r="28" spans="2:4" x14ac:dyDescent="0.3">
      <c r="B28" s="10" t="s">
        <v>21</v>
      </c>
      <c r="C28" s="17">
        <v>100</v>
      </c>
    </row>
    <row r="29" spans="2:4" x14ac:dyDescent="0.3">
      <c r="B29" s="10" t="s">
        <v>129</v>
      </c>
      <c r="C29" s="17">
        <v>100</v>
      </c>
    </row>
    <row r="30" spans="2:4" x14ac:dyDescent="0.3">
      <c r="B30" s="10" t="s">
        <v>23</v>
      </c>
      <c r="C30" s="17">
        <v>250</v>
      </c>
    </row>
    <row r="31" spans="2:4" x14ac:dyDescent="0.3">
      <c r="B31" s="10" t="s">
        <v>78</v>
      </c>
      <c r="C31" s="17">
        <v>200</v>
      </c>
    </row>
    <row r="32" spans="2:4" x14ac:dyDescent="0.3">
      <c r="B32" s="10" t="s">
        <v>130</v>
      </c>
      <c r="C32" s="17">
        <v>250</v>
      </c>
    </row>
    <row r="33" spans="2:3" x14ac:dyDescent="0.3">
      <c r="B33" s="10" t="s">
        <v>2</v>
      </c>
      <c r="C33" s="63">
        <f>SUM(C6:C32)</f>
        <v>33770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35"/>
  <sheetViews>
    <sheetView tabSelected="1" zoomScaleNormal="100" workbookViewId="0">
      <selection activeCell="A4" sqref="A4"/>
    </sheetView>
  </sheetViews>
  <sheetFormatPr defaultRowHeight="14.4" x14ac:dyDescent="0.3"/>
  <cols>
    <col min="1" max="1" width="2.77734375" style="4" customWidth="1"/>
    <col min="2" max="2" width="31.33203125" style="4" bestFit="1" customWidth="1"/>
    <col min="3" max="3" width="16" style="4" bestFit="1" customWidth="1"/>
    <col min="4" max="4" width="19" style="4" customWidth="1"/>
    <col min="5" max="6" width="16" style="4" bestFit="1" customWidth="1"/>
    <col min="7" max="8" width="14.33203125" style="4" bestFit="1" customWidth="1"/>
    <col min="9" max="9" width="18.44140625" style="4" bestFit="1" customWidth="1"/>
    <col min="10" max="14" width="14.33203125" style="4" bestFit="1" customWidth="1"/>
    <col min="15" max="16384" width="8.88671875" style="4"/>
  </cols>
  <sheetData>
    <row r="1" spans="2:14" s="13" customFormat="1" x14ac:dyDescent="0.3">
      <c r="B1" s="13" t="s">
        <v>140</v>
      </c>
    </row>
    <row r="2" spans="2:14" s="13" customFormat="1" x14ac:dyDescent="0.3">
      <c r="B2" s="13" t="s">
        <v>168</v>
      </c>
    </row>
    <row r="3" spans="2:14" s="13" customFormat="1" x14ac:dyDescent="0.3"/>
    <row r="5" spans="2:14" x14ac:dyDescent="0.3">
      <c r="B5" s="50"/>
      <c r="C5" s="50" t="s">
        <v>26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2:14" x14ac:dyDescent="0.3">
      <c r="B6" s="58" t="s">
        <v>133</v>
      </c>
      <c r="C6" s="59">
        <f>'Vendas (R$)'!F56</f>
        <v>2003925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2:14" x14ac:dyDescent="0.3">
      <c r="B7" s="60" t="s">
        <v>97</v>
      </c>
      <c r="C7" s="61">
        <f>'Custo de Venda'!E64</f>
        <v>1560250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2:14" x14ac:dyDescent="0.3">
      <c r="B8" s="60" t="s">
        <v>98</v>
      </c>
      <c r="C8" s="61">
        <f>'Custo de Venda'!F64</f>
        <v>20039.25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2:14" x14ac:dyDescent="0.3">
      <c r="B9" s="60" t="s">
        <v>99</v>
      </c>
      <c r="C9" s="61">
        <f>'Custo de Venda'!G64</f>
        <v>40078.5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2:14" x14ac:dyDescent="0.3">
      <c r="B10" s="24" t="s">
        <v>119</v>
      </c>
      <c r="C10" s="55">
        <f>C6-C7-C8-C9</f>
        <v>383557.25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2:14" x14ac:dyDescent="0.3">
      <c r="B11" s="60" t="s">
        <v>25</v>
      </c>
      <c r="C11" s="61">
        <f>Despesas!$C$33</f>
        <v>33770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2:14" x14ac:dyDescent="0.3">
      <c r="B12" s="60" t="s">
        <v>132</v>
      </c>
      <c r="C12" s="61">
        <f>FOPAG!$F$11</f>
        <v>16800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2:14" x14ac:dyDescent="0.3">
      <c r="B13" s="60" t="s">
        <v>131</v>
      </c>
      <c r="C13" s="61">
        <f>(C6-C7)*0.15</f>
        <v>66551.25</v>
      </c>
      <c r="D13" s="70" t="s">
        <v>172</v>
      </c>
      <c r="E13" s="70"/>
      <c r="F13" s="54"/>
      <c r="G13" s="54"/>
      <c r="H13" s="54"/>
      <c r="I13" s="54"/>
      <c r="J13" s="54"/>
      <c r="K13" s="54"/>
      <c r="L13" s="54"/>
      <c r="M13" s="54"/>
      <c r="N13" s="54"/>
    </row>
    <row r="14" spans="2:14" x14ac:dyDescent="0.3">
      <c r="B14" s="24" t="s">
        <v>120</v>
      </c>
      <c r="C14" s="55">
        <f>C10-C11-C12-C13</f>
        <v>266436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6" spans="2:14" x14ac:dyDescent="0.3">
      <c r="B16" s="50" t="s">
        <v>26</v>
      </c>
      <c r="C16" s="50" t="s">
        <v>116</v>
      </c>
      <c r="D16" s="50" t="s">
        <v>117</v>
      </c>
      <c r="E16" s="50" t="s">
        <v>118</v>
      </c>
    </row>
    <row r="17" spans="2:7" x14ac:dyDescent="0.3">
      <c r="B17" s="24" t="s">
        <v>136</v>
      </c>
      <c r="C17" s="55">
        <f>C6</f>
        <v>2003925</v>
      </c>
      <c r="D17" s="55">
        <f>C14</f>
        <v>266436</v>
      </c>
      <c r="E17" s="56">
        <f>D17/C17</f>
        <v>0.1329570717466971</v>
      </c>
    </row>
    <row r="18" spans="2:7" x14ac:dyDescent="0.3">
      <c r="B18" s="42"/>
      <c r="C18" s="54"/>
      <c r="D18" s="54"/>
      <c r="E18" s="57"/>
    </row>
    <row r="19" spans="2:7" x14ac:dyDescent="0.3">
      <c r="B19" s="50" t="s">
        <v>26</v>
      </c>
      <c r="C19" s="50" t="s">
        <v>117</v>
      </c>
      <c r="D19" s="50" t="s">
        <v>134</v>
      </c>
      <c r="E19" s="57"/>
    </row>
    <row r="20" spans="2:7" x14ac:dyDescent="0.3">
      <c r="B20" s="24" t="s">
        <v>135</v>
      </c>
      <c r="C20" s="55">
        <v>0</v>
      </c>
      <c r="D20" s="23">
        <f>Investimentos!C37*-1</f>
        <v>-249700</v>
      </c>
      <c r="E20" s="57"/>
    </row>
    <row r="21" spans="2:7" x14ac:dyDescent="0.3">
      <c r="B21" s="24" t="s">
        <v>83</v>
      </c>
      <c r="C21" s="55">
        <f>D17</f>
        <v>266436</v>
      </c>
      <c r="D21" s="23">
        <f>C21+D20</f>
        <v>16736</v>
      </c>
      <c r="E21" s="57"/>
    </row>
    <row r="22" spans="2:7" x14ac:dyDescent="0.3">
      <c r="B22" s="24" t="s">
        <v>84</v>
      </c>
      <c r="C22" s="55">
        <f t="shared" ref="C22:C32" si="0">C21</f>
        <v>266436</v>
      </c>
      <c r="D22" s="23">
        <f t="shared" ref="D22:D32" si="1">C22+D21</f>
        <v>283172</v>
      </c>
      <c r="E22" s="57"/>
    </row>
    <row r="23" spans="2:7" x14ac:dyDescent="0.3">
      <c r="B23" s="24" t="s">
        <v>85</v>
      </c>
      <c r="C23" s="55">
        <f t="shared" si="0"/>
        <v>266436</v>
      </c>
      <c r="D23" s="23">
        <f t="shared" si="1"/>
        <v>549608</v>
      </c>
      <c r="E23" s="57"/>
    </row>
    <row r="24" spans="2:7" x14ac:dyDescent="0.3">
      <c r="B24" s="24" t="s">
        <v>86</v>
      </c>
      <c r="C24" s="55">
        <f t="shared" si="0"/>
        <v>266436</v>
      </c>
      <c r="D24" s="23">
        <f t="shared" si="1"/>
        <v>816044</v>
      </c>
      <c r="E24" s="57"/>
    </row>
    <row r="25" spans="2:7" x14ac:dyDescent="0.3">
      <c r="B25" s="24" t="s">
        <v>87</v>
      </c>
      <c r="C25" s="55">
        <f t="shared" si="0"/>
        <v>266436</v>
      </c>
      <c r="D25" s="23">
        <f t="shared" si="1"/>
        <v>1082480</v>
      </c>
      <c r="E25" s="57"/>
    </row>
    <row r="26" spans="2:7" x14ac:dyDescent="0.3">
      <c r="B26" s="24" t="s">
        <v>88</v>
      </c>
      <c r="C26" s="55">
        <f t="shared" si="0"/>
        <v>266436</v>
      </c>
      <c r="D26" s="23">
        <f t="shared" si="1"/>
        <v>1348916</v>
      </c>
      <c r="E26" s="57"/>
    </row>
    <row r="27" spans="2:7" x14ac:dyDescent="0.3">
      <c r="B27" s="24" t="s">
        <v>89</v>
      </c>
      <c r="C27" s="55">
        <f t="shared" si="0"/>
        <v>266436</v>
      </c>
      <c r="D27" s="23">
        <f t="shared" si="1"/>
        <v>1615352</v>
      </c>
      <c r="E27" s="57"/>
    </row>
    <row r="28" spans="2:7" x14ac:dyDescent="0.3">
      <c r="B28" s="24" t="s">
        <v>90</v>
      </c>
      <c r="C28" s="55">
        <f t="shared" si="0"/>
        <v>266436</v>
      </c>
      <c r="D28" s="23">
        <f t="shared" si="1"/>
        <v>1881788</v>
      </c>
      <c r="E28" s="57"/>
    </row>
    <row r="29" spans="2:7" x14ac:dyDescent="0.3">
      <c r="B29" s="24" t="s">
        <v>91</v>
      </c>
      <c r="C29" s="55">
        <f t="shared" si="0"/>
        <v>266436</v>
      </c>
      <c r="D29" s="23">
        <f t="shared" si="1"/>
        <v>2148224</v>
      </c>
      <c r="E29" s="57"/>
    </row>
    <row r="30" spans="2:7" x14ac:dyDescent="0.3">
      <c r="B30" s="24" t="s">
        <v>92</v>
      </c>
      <c r="C30" s="55">
        <f t="shared" si="0"/>
        <v>266436</v>
      </c>
      <c r="D30" s="23">
        <f t="shared" si="1"/>
        <v>2414660</v>
      </c>
      <c r="G30" s="42"/>
    </row>
    <row r="31" spans="2:7" x14ac:dyDescent="0.3">
      <c r="B31" s="24" t="s">
        <v>93</v>
      </c>
      <c r="C31" s="55">
        <f t="shared" si="0"/>
        <v>266436</v>
      </c>
      <c r="D31" s="23">
        <f t="shared" si="1"/>
        <v>2681096</v>
      </c>
    </row>
    <row r="32" spans="2:7" x14ac:dyDescent="0.3">
      <c r="B32" s="24" t="s">
        <v>94</v>
      </c>
      <c r="C32" s="55">
        <f t="shared" si="0"/>
        <v>266436</v>
      </c>
      <c r="D32" s="23">
        <f t="shared" si="1"/>
        <v>2947532</v>
      </c>
    </row>
    <row r="34" spans="2:3" s="6" customFormat="1" x14ac:dyDescent="0.3">
      <c r="B34" s="6" t="s">
        <v>100</v>
      </c>
      <c r="C34" s="6" t="s">
        <v>101</v>
      </c>
    </row>
    <row r="35" spans="2:3" s="6" customFormat="1" x14ac:dyDescent="0.3">
      <c r="C35" s="6" t="s">
        <v>102</v>
      </c>
    </row>
  </sheetData>
  <conditionalFormatting sqref="C6:N14">
    <cfRule type="cellIs" dxfId="0" priority="3" operator="lessThan">
      <formula>0</formula>
    </cfRule>
  </conditionalFormatting>
  <conditionalFormatting sqref="D20:D3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{27B3824E-25E3-4E88-A8B1-D00474A1BDEB}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B3824E-25E3-4E88-A8B1-D00474A1BDE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D20:D32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Bem vindo!</vt:lpstr>
      <vt:lpstr>Produtos</vt:lpstr>
      <vt:lpstr>Vendas (q)</vt:lpstr>
      <vt:lpstr>Vendas (R$)</vt:lpstr>
      <vt:lpstr>Custo de Venda</vt:lpstr>
      <vt:lpstr>Investimentos</vt:lpstr>
      <vt:lpstr>FOPAG</vt:lpstr>
      <vt:lpstr>Despesas</vt:lpstr>
      <vt:lpstr>Análise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Santini .</dc:creator>
  <cp:lastModifiedBy>Arthur Santini</cp:lastModifiedBy>
  <cp:lastPrinted>2016-04-23T14:10:41Z</cp:lastPrinted>
  <dcterms:created xsi:type="dcterms:W3CDTF">2014-04-24T18:24:30Z</dcterms:created>
  <dcterms:modified xsi:type="dcterms:W3CDTF">2020-05-07T13:44:31Z</dcterms:modified>
</cp:coreProperties>
</file>